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te Preston\PCS Dropbox\Pete Preston\WINDSOR\2024\2024 ASSESSMENT ROLL\RESIDENTIAL\"/>
    </mc:Choice>
  </mc:AlternateContent>
  <xr:revisionPtr revIDLastSave="0" documentId="13_ncr:1_{8262B225-5031-4756-A918-A513591755E3}" xr6:coauthVersionLast="47" xr6:coauthVersionMax="47" xr10:uidLastSave="{00000000-0000-0000-0000-000000000000}"/>
  <bookViews>
    <workbookView xWindow="-120" yWindow="-120" windowWidth="29040" windowHeight="15840" xr2:uid="{E447F3B6-BD46-43D7-A1A6-4BD40DC22936}"/>
  </bookViews>
  <sheets>
    <sheet name="Land Analysis-Data Dump" sheetId="2" r:id="rId1"/>
    <sheet name="PRE-MODERN SUB" sheetId="3" r:id="rId2"/>
    <sheet name="RURAL RES &amp; VILLAGE ALT" sheetId="4" r:id="rId3"/>
    <sheet name="RURAL RES &amp; VILLAGE ALT WATER" sheetId="8" r:id="rId4"/>
    <sheet name="RURAL SUB" sheetId="5" r:id="rId5"/>
    <sheet name="SUBDIVISION-MODERN" sheetId="6" r:id="rId6"/>
    <sheet name="TRADITIONAL VILLAGE" sheetId="7" r:id="rId7"/>
    <sheet name="Sheet1" sheetId="1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82" i="6" l="1"/>
  <c r="D326" i="4"/>
  <c r="D327" i="4"/>
  <c r="D328" i="4"/>
  <c r="D329" i="4"/>
  <c r="F329" i="4" s="1"/>
  <c r="D330" i="4"/>
  <c r="D331" i="4"/>
  <c r="D332" i="4"/>
  <c r="D333" i="4"/>
  <c r="D334" i="4"/>
  <c r="D335" i="4"/>
  <c r="D336" i="4"/>
  <c r="F336" i="4" s="1"/>
  <c r="D337" i="4"/>
  <c r="F337" i="4" s="1"/>
  <c r="D338" i="4"/>
  <c r="D339" i="4"/>
  <c r="D340" i="4"/>
  <c r="F340" i="4" s="1"/>
  <c r="D325" i="4"/>
  <c r="F325" i="4"/>
  <c r="F302" i="4"/>
  <c r="F303" i="4"/>
  <c r="F304" i="4"/>
  <c r="F305" i="4"/>
  <c r="P94" i="8"/>
  <c r="O94" i="8"/>
  <c r="M94" i="8"/>
  <c r="L94" i="8"/>
  <c r="J94" i="8"/>
  <c r="H94" i="8"/>
  <c r="G94" i="8"/>
  <c r="I95" i="8" s="1"/>
  <c r="D94" i="8"/>
  <c r="K93" i="8"/>
  <c r="S93" i="8" s="1"/>
  <c r="I93" i="8"/>
  <c r="P80" i="8"/>
  <c r="O80" i="8"/>
  <c r="M80" i="8"/>
  <c r="L80" i="8"/>
  <c r="J80" i="8"/>
  <c r="H80" i="8"/>
  <c r="G80" i="8"/>
  <c r="D80" i="8"/>
  <c r="K79" i="8"/>
  <c r="S79" i="8" s="1"/>
  <c r="I79" i="8"/>
  <c r="K78" i="8"/>
  <c r="S78" i="8" s="1"/>
  <c r="I78" i="8"/>
  <c r="P71" i="8"/>
  <c r="O71" i="8"/>
  <c r="M71" i="8"/>
  <c r="L71" i="8"/>
  <c r="J71" i="8"/>
  <c r="H71" i="8"/>
  <c r="G71" i="8"/>
  <c r="D71" i="8"/>
  <c r="K70" i="8"/>
  <c r="S70" i="8" s="1"/>
  <c r="I70" i="8"/>
  <c r="D153" i="8"/>
  <c r="F149" i="8"/>
  <c r="C149" i="8"/>
  <c r="F148" i="8"/>
  <c r="C148" i="8"/>
  <c r="F147" i="8"/>
  <c r="C147" i="8"/>
  <c r="F146" i="8"/>
  <c r="C146" i="8"/>
  <c r="F145" i="8"/>
  <c r="C145" i="8"/>
  <c r="F144" i="8"/>
  <c r="C144" i="8"/>
  <c r="F143" i="8"/>
  <c r="C143" i="8"/>
  <c r="F142" i="8"/>
  <c r="F141" i="8"/>
  <c r="C141" i="8"/>
  <c r="F140" i="8"/>
  <c r="C140" i="8"/>
  <c r="F139" i="8"/>
  <c r="F138" i="8"/>
  <c r="F137" i="8"/>
  <c r="C137" i="8"/>
  <c r="F136" i="8"/>
  <c r="F135" i="8"/>
  <c r="F134" i="8"/>
  <c r="P60" i="8"/>
  <c r="O60" i="8"/>
  <c r="M60" i="8"/>
  <c r="L60" i="8"/>
  <c r="J60" i="8"/>
  <c r="H60" i="8"/>
  <c r="G60" i="8"/>
  <c r="D60" i="8"/>
  <c r="K59" i="8"/>
  <c r="S59" i="8" s="1"/>
  <c r="I59" i="8"/>
  <c r="K58" i="8"/>
  <c r="I58" i="8"/>
  <c r="P51" i="8"/>
  <c r="O51" i="8"/>
  <c r="M51" i="8"/>
  <c r="L51" i="8"/>
  <c r="J51" i="8"/>
  <c r="H51" i="8"/>
  <c r="G51" i="8"/>
  <c r="D51" i="8"/>
  <c r="K50" i="8"/>
  <c r="Q50" i="8" s="1"/>
  <c r="I50" i="8"/>
  <c r="K49" i="8"/>
  <c r="Q49" i="8" s="1"/>
  <c r="I49" i="8"/>
  <c r="K48" i="8"/>
  <c r="S48" i="8" s="1"/>
  <c r="I48" i="8"/>
  <c r="K47" i="8"/>
  <c r="S47" i="8" s="1"/>
  <c r="I47" i="8"/>
  <c r="K46" i="8"/>
  <c r="Q46" i="8" s="1"/>
  <c r="I46" i="8"/>
  <c r="K45" i="8"/>
  <c r="S45" i="8" s="1"/>
  <c r="I45" i="8"/>
  <c r="P38" i="8"/>
  <c r="O38" i="8"/>
  <c r="M38" i="8"/>
  <c r="L38" i="8"/>
  <c r="J38" i="8"/>
  <c r="H38" i="8"/>
  <c r="G38" i="8"/>
  <c r="D38" i="8"/>
  <c r="K37" i="8"/>
  <c r="S37" i="8" s="1"/>
  <c r="I37" i="8"/>
  <c r="K36" i="8"/>
  <c r="S36" i="8" s="1"/>
  <c r="I36" i="8"/>
  <c r="K35" i="8"/>
  <c r="Q35" i="8" s="1"/>
  <c r="I35" i="8"/>
  <c r="P27" i="8"/>
  <c r="O27" i="8"/>
  <c r="M27" i="8"/>
  <c r="L27" i="8"/>
  <c r="J27" i="8"/>
  <c r="H27" i="8"/>
  <c r="G27" i="8"/>
  <c r="D27" i="8"/>
  <c r="K17" i="8"/>
  <c r="R17" i="8" s="1"/>
  <c r="I17" i="8"/>
  <c r="K26" i="8"/>
  <c r="R26" i="8" s="1"/>
  <c r="I26" i="8"/>
  <c r="K16" i="8"/>
  <c r="Q16" i="8" s="1"/>
  <c r="I16" i="8"/>
  <c r="K15" i="8"/>
  <c r="S15" i="8" s="1"/>
  <c r="I15" i="8"/>
  <c r="K14" i="8"/>
  <c r="R14" i="8" s="1"/>
  <c r="I14" i="8"/>
  <c r="K25" i="8"/>
  <c r="R25" i="8" s="1"/>
  <c r="I25" i="8"/>
  <c r="K13" i="8"/>
  <c r="S13" i="8" s="1"/>
  <c r="I13" i="8"/>
  <c r="K12" i="8"/>
  <c r="S12" i="8" s="1"/>
  <c r="I12" i="8"/>
  <c r="K11" i="8"/>
  <c r="Q11" i="8" s="1"/>
  <c r="I11" i="8"/>
  <c r="K24" i="8"/>
  <c r="S24" i="8" s="1"/>
  <c r="I24" i="8"/>
  <c r="K10" i="8"/>
  <c r="Q10" i="8" s="1"/>
  <c r="I10" i="8"/>
  <c r="K9" i="8"/>
  <c r="S9" i="8" s="1"/>
  <c r="I9" i="8"/>
  <c r="K8" i="8"/>
  <c r="S8" i="8" s="1"/>
  <c r="I8" i="8"/>
  <c r="K7" i="8"/>
  <c r="Q7" i="8" s="1"/>
  <c r="I7" i="8"/>
  <c r="K23" i="8"/>
  <c r="R23" i="8" s="1"/>
  <c r="I23" i="8"/>
  <c r="K6" i="8"/>
  <c r="S6" i="8" s="1"/>
  <c r="I6" i="8"/>
  <c r="K5" i="8"/>
  <c r="S5" i="8" s="1"/>
  <c r="I5" i="8"/>
  <c r="K4" i="8"/>
  <c r="S4" i="8" s="1"/>
  <c r="I4" i="8"/>
  <c r="K3" i="8"/>
  <c r="Q3" i="8" s="1"/>
  <c r="I3" i="8"/>
  <c r="K22" i="8"/>
  <c r="R22" i="8" s="1"/>
  <c r="I22" i="8"/>
  <c r="K21" i="8"/>
  <c r="R21" i="8" s="1"/>
  <c r="I21" i="8"/>
  <c r="K20" i="8"/>
  <c r="R20" i="8" s="1"/>
  <c r="I20" i="8"/>
  <c r="K19" i="8"/>
  <c r="S19" i="8" s="1"/>
  <c r="I19" i="8"/>
  <c r="K18" i="8"/>
  <c r="S18" i="8" s="1"/>
  <c r="I18" i="8"/>
  <c r="P279" i="4"/>
  <c r="O279" i="4"/>
  <c r="M279" i="4"/>
  <c r="L279" i="4"/>
  <c r="J279" i="4"/>
  <c r="H279" i="4"/>
  <c r="G279" i="4"/>
  <c r="D279" i="4"/>
  <c r="K278" i="4"/>
  <c r="S278" i="4" s="1"/>
  <c r="I278" i="4"/>
  <c r="P271" i="4"/>
  <c r="O271" i="4"/>
  <c r="M271" i="4"/>
  <c r="L271" i="4"/>
  <c r="J271" i="4"/>
  <c r="H271" i="4"/>
  <c r="G271" i="4"/>
  <c r="D271" i="4"/>
  <c r="K270" i="4"/>
  <c r="S270" i="4" s="1"/>
  <c r="I270" i="4"/>
  <c r="P263" i="4"/>
  <c r="O263" i="4"/>
  <c r="M263" i="4"/>
  <c r="L263" i="4"/>
  <c r="J263" i="4"/>
  <c r="H263" i="4"/>
  <c r="G263" i="4"/>
  <c r="D263" i="4"/>
  <c r="K262" i="4"/>
  <c r="S262" i="4" s="1"/>
  <c r="I262" i="4"/>
  <c r="P255" i="4"/>
  <c r="O255" i="4"/>
  <c r="M255" i="4"/>
  <c r="L255" i="4"/>
  <c r="J255" i="4"/>
  <c r="H255" i="4"/>
  <c r="G255" i="4"/>
  <c r="D255" i="4"/>
  <c r="K254" i="4"/>
  <c r="S254" i="4" s="1"/>
  <c r="I254" i="4"/>
  <c r="K253" i="4"/>
  <c r="Q253" i="4" s="1"/>
  <c r="I253" i="4"/>
  <c r="P246" i="4"/>
  <c r="O246" i="4"/>
  <c r="M246" i="4"/>
  <c r="L246" i="4"/>
  <c r="J246" i="4"/>
  <c r="H246" i="4"/>
  <c r="G246" i="4"/>
  <c r="D246" i="4"/>
  <c r="K245" i="4"/>
  <c r="S245" i="4" s="1"/>
  <c r="I245" i="4"/>
  <c r="K244" i="4"/>
  <c r="S244" i="4" s="1"/>
  <c r="I244" i="4"/>
  <c r="P237" i="4"/>
  <c r="O237" i="4"/>
  <c r="M237" i="4"/>
  <c r="L237" i="4"/>
  <c r="J237" i="4"/>
  <c r="H237" i="4"/>
  <c r="G237" i="4"/>
  <c r="D237" i="4"/>
  <c r="K232" i="4"/>
  <c r="Q232" i="4" s="1"/>
  <c r="I232" i="4"/>
  <c r="K233" i="4"/>
  <c r="S233" i="4" s="1"/>
  <c r="I233" i="4"/>
  <c r="K230" i="4"/>
  <c r="R230" i="4" s="1"/>
  <c r="I230" i="4"/>
  <c r="K235" i="4"/>
  <c r="S235" i="4" s="1"/>
  <c r="I235" i="4"/>
  <c r="K236" i="4"/>
  <c r="S236" i="4" s="1"/>
  <c r="I236" i="4"/>
  <c r="K234" i="4"/>
  <c r="S234" i="4" s="1"/>
  <c r="I234" i="4"/>
  <c r="K231" i="4"/>
  <c r="S231" i="4" s="1"/>
  <c r="I231" i="4"/>
  <c r="P223" i="4"/>
  <c r="O223" i="4"/>
  <c r="M223" i="4"/>
  <c r="L223" i="4"/>
  <c r="J223" i="4"/>
  <c r="H223" i="4"/>
  <c r="G223" i="4"/>
  <c r="D223" i="4"/>
  <c r="K220" i="4"/>
  <c r="Q220" i="4" s="1"/>
  <c r="I220" i="4"/>
  <c r="K217" i="4"/>
  <c r="R217" i="4" s="1"/>
  <c r="I217" i="4"/>
  <c r="K222" i="4"/>
  <c r="R222" i="4" s="1"/>
  <c r="I222" i="4"/>
  <c r="K219" i="4"/>
  <c r="R219" i="4" s="1"/>
  <c r="I219" i="4"/>
  <c r="K221" i="4"/>
  <c r="R221" i="4" s="1"/>
  <c r="I221" i="4"/>
  <c r="K216" i="4"/>
  <c r="S216" i="4" s="1"/>
  <c r="I216" i="4"/>
  <c r="K218" i="4"/>
  <c r="S218" i="4" s="1"/>
  <c r="I218" i="4"/>
  <c r="P209" i="4"/>
  <c r="O209" i="4"/>
  <c r="M209" i="4"/>
  <c r="L209" i="4"/>
  <c r="J209" i="4"/>
  <c r="H209" i="4"/>
  <c r="G209" i="4"/>
  <c r="D209" i="4"/>
  <c r="K208" i="4"/>
  <c r="S208" i="4" s="1"/>
  <c r="I208" i="4"/>
  <c r="K207" i="4"/>
  <c r="Q207" i="4" s="1"/>
  <c r="I207" i="4"/>
  <c r="P200" i="4"/>
  <c r="O200" i="4"/>
  <c r="M200" i="4"/>
  <c r="L200" i="4"/>
  <c r="J200" i="4"/>
  <c r="H200" i="4"/>
  <c r="G200" i="4"/>
  <c r="D200" i="4"/>
  <c r="K199" i="4"/>
  <c r="S199" i="4" s="1"/>
  <c r="I199" i="4"/>
  <c r="K198" i="4"/>
  <c r="Q198" i="4" s="1"/>
  <c r="I198" i="4"/>
  <c r="K197" i="4"/>
  <c r="S197" i="4" s="1"/>
  <c r="I197" i="4"/>
  <c r="K196" i="4"/>
  <c r="R196" i="4" s="1"/>
  <c r="I196" i="4"/>
  <c r="K195" i="4"/>
  <c r="S195" i="4" s="1"/>
  <c r="I195" i="4"/>
  <c r="P188" i="4"/>
  <c r="O188" i="4"/>
  <c r="M188" i="4"/>
  <c r="L188" i="4"/>
  <c r="J188" i="4"/>
  <c r="H188" i="4"/>
  <c r="G188" i="4"/>
  <c r="D188" i="4"/>
  <c r="K185" i="4"/>
  <c r="S185" i="4" s="1"/>
  <c r="I185" i="4"/>
  <c r="K184" i="4"/>
  <c r="R184" i="4" s="1"/>
  <c r="I184" i="4"/>
  <c r="K182" i="4"/>
  <c r="S182" i="4" s="1"/>
  <c r="I182" i="4"/>
  <c r="K183" i="4"/>
  <c r="S183" i="4" s="1"/>
  <c r="I183" i="4"/>
  <c r="K181" i="4"/>
  <c r="S181" i="4" s="1"/>
  <c r="I181" i="4"/>
  <c r="K186" i="4"/>
  <c r="S186" i="4" s="1"/>
  <c r="I186" i="4"/>
  <c r="K180" i="4"/>
  <c r="S180" i="4" s="1"/>
  <c r="I180" i="4"/>
  <c r="K187" i="4"/>
  <c r="R187" i="4" s="1"/>
  <c r="I187" i="4"/>
  <c r="P173" i="4"/>
  <c r="O173" i="4"/>
  <c r="M173" i="4"/>
  <c r="L173" i="4"/>
  <c r="J173" i="4"/>
  <c r="H173" i="4"/>
  <c r="G173" i="4"/>
  <c r="D173" i="4"/>
  <c r="K172" i="4"/>
  <c r="S172" i="4" s="1"/>
  <c r="I172" i="4"/>
  <c r="K171" i="4"/>
  <c r="S171" i="4" s="1"/>
  <c r="I171" i="4"/>
  <c r="K170" i="4"/>
  <c r="R170" i="4" s="1"/>
  <c r="I170" i="4"/>
  <c r="P163" i="4"/>
  <c r="O163" i="4"/>
  <c r="M163" i="4"/>
  <c r="L163" i="4"/>
  <c r="J163" i="4"/>
  <c r="H163" i="4"/>
  <c r="G163" i="4"/>
  <c r="D163" i="4"/>
  <c r="K158" i="4"/>
  <c r="Q158" i="4" s="1"/>
  <c r="I158" i="4"/>
  <c r="K159" i="4"/>
  <c r="S159" i="4" s="1"/>
  <c r="I159" i="4"/>
  <c r="K162" i="4"/>
  <c r="Q162" i="4" s="1"/>
  <c r="I162" i="4"/>
  <c r="K161" i="4"/>
  <c r="Q161" i="4" s="1"/>
  <c r="I161" i="4"/>
  <c r="K160" i="4"/>
  <c r="S160" i="4" s="1"/>
  <c r="I160" i="4"/>
  <c r="P151" i="4"/>
  <c r="O151" i="4"/>
  <c r="M151" i="4"/>
  <c r="L151" i="4"/>
  <c r="J151" i="4"/>
  <c r="H151" i="4"/>
  <c r="G151" i="4"/>
  <c r="D151" i="4"/>
  <c r="K145" i="4"/>
  <c r="S145" i="4" s="1"/>
  <c r="I145" i="4"/>
  <c r="K143" i="4"/>
  <c r="R143" i="4" s="1"/>
  <c r="I143" i="4"/>
  <c r="K149" i="4"/>
  <c r="S149" i="4" s="1"/>
  <c r="I149" i="4"/>
  <c r="K150" i="4"/>
  <c r="R150" i="4" s="1"/>
  <c r="I150" i="4"/>
  <c r="K142" i="4"/>
  <c r="S142" i="4" s="1"/>
  <c r="I142" i="4"/>
  <c r="K144" i="4"/>
  <c r="S144" i="4" s="1"/>
  <c r="I144" i="4"/>
  <c r="K147" i="4"/>
  <c r="S147" i="4" s="1"/>
  <c r="I147" i="4"/>
  <c r="K148" i="4"/>
  <c r="R148" i="4" s="1"/>
  <c r="I148" i="4"/>
  <c r="K146" i="4"/>
  <c r="S146" i="4" s="1"/>
  <c r="I146" i="4"/>
  <c r="P135" i="4"/>
  <c r="O135" i="4"/>
  <c r="M135" i="4"/>
  <c r="L135" i="4"/>
  <c r="J135" i="4"/>
  <c r="H135" i="4"/>
  <c r="G135" i="4"/>
  <c r="D135" i="4"/>
  <c r="K127" i="4"/>
  <c r="S127" i="4" s="1"/>
  <c r="I127" i="4"/>
  <c r="K133" i="4"/>
  <c r="S133" i="4" s="1"/>
  <c r="I133" i="4"/>
  <c r="K131" i="4"/>
  <c r="Q131" i="4" s="1"/>
  <c r="I131" i="4"/>
  <c r="K128" i="4"/>
  <c r="S128" i="4" s="1"/>
  <c r="I128" i="4"/>
  <c r="K126" i="4"/>
  <c r="S126" i="4" s="1"/>
  <c r="I126" i="4"/>
  <c r="K130" i="4"/>
  <c r="S130" i="4" s="1"/>
  <c r="I130" i="4"/>
  <c r="K132" i="4"/>
  <c r="Q132" i="4" s="1"/>
  <c r="I132" i="4"/>
  <c r="K134" i="4"/>
  <c r="S134" i="4" s="1"/>
  <c r="I134" i="4"/>
  <c r="K129" i="4"/>
  <c r="S129" i="4" s="1"/>
  <c r="I129" i="4"/>
  <c r="P119" i="4"/>
  <c r="O119" i="4"/>
  <c r="M119" i="4"/>
  <c r="L119" i="4"/>
  <c r="J119" i="4"/>
  <c r="H119" i="4"/>
  <c r="G119" i="4"/>
  <c r="D119" i="4"/>
  <c r="K111" i="4"/>
  <c r="S111" i="4" s="1"/>
  <c r="I111" i="4"/>
  <c r="K113" i="4"/>
  <c r="S113" i="4" s="1"/>
  <c r="I113" i="4"/>
  <c r="K116" i="4"/>
  <c r="R116" i="4" s="1"/>
  <c r="I116" i="4"/>
  <c r="K117" i="4"/>
  <c r="Q117" i="4" s="1"/>
  <c r="I117" i="4"/>
  <c r="K118" i="4"/>
  <c r="R118" i="4" s="1"/>
  <c r="I118" i="4"/>
  <c r="K112" i="4"/>
  <c r="S112" i="4" s="1"/>
  <c r="I112" i="4"/>
  <c r="K109" i="4"/>
  <c r="Q109" i="4" s="1"/>
  <c r="I109" i="4"/>
  <c r="K115" i="4"/>
  <c r="S115" i="4" s="1"/>
  <c r="I115" i="4"/>
  <c r="K114" i="4"/>
  <c r="R114" i="4" s="1"/>
  <c r="I114" i="4"/>
  <c r="K110" i="4"/>
  <c r="I110" i="4"/>
  <c r="C340" i="4"/>
  <c r="F339" i="4"/>
  <c r="B339" i="4"/>
  <c r="C339" i="4" s="1"/>
  <c r="F338" i="4"/>
  <c r="B338" i="4"/>
  <c r="C338" i="4" s="1"/>
  <c r="B337" i="4"/>
  <c r="C337" i="4" s="1"/>
  <c r="C336" i="4"/>
  <c r="F335" i="4"/>
  <c r="C335" i="4"/>
  <c r="F334" i="4"/>
  <c r="C334" i="4"/>
  <c r="F333" i="4"/>
  <c r="C333" i="4"/>
  <c r="F332" i="4"/>
  <c r="C332" i="4"/>
  <c r="F331" i="4"/>
  <c r="C331" i="4"/>
  <c r="F330" i="4"/>
  <c r="C330" i="4"/>
  <c r="C329" i="4"/>
  <c r="F328" i="4"/>
  <c r="C328" i="4"/>
  <c r="F327" i="4"/>
  <c r="C327" i="4"/>
  <c r="F326" i="4"/>
  <c r="C326" i="4"/>
  <c r="C325" i="4"/>
  <c r="D320" i="4"/>
  <c r="F316" i="4"/>
  <c r="C316" i="4"/>
  <c r="F315" i="4"/>
  <c r="F314" i="4"/>
  <c r="F313" i="4"/>
  <c r="F312" i="4"/>
  <c r="F311" i="4"/>
  <c r="F310" i="4"/>
  <c r="F309" i="4"/>
  <c r="F308" i="4"/>
  <c r="F307" i="4"/>
  <c r="F306" i="4"/>
  <c r="F301" i="4"/>
  <c r="Q93" i="8" l="1"/>
  <c r="R93" i="8"/>
  <c r="I96" i="8"/>
  <c r="I81" i="8"/>
  <c r="K94" i="8"/>
  <c r="I72" i="8"/>
  <c r="I82" i="8"/>
  <c r="I39" i="8"/>
  <c r="Q79" i="8"/>
  <c r="K80" i="8"/>
  <c r="R79" i="8"/>
  <c r="Q78" i="8"/>
  <c r="R78" i="8"/>
  <c r="I73" i="8"/>
  <c r="K71" i="8"/>
  <c r="Q70" i="8"/>
  <c r="R70" i="8"/>
  <c r="I28" i="8"/>
  <c r="I61" i="8"/>
  <c r="I272" i="4"/>
  <c r="S49" i="8"/>
  <c r="R16" i="8"/>
  <c r="R37" i="8"/>
  <c r="I52" i="8"/>
  <c r="Q59" i="8"/>
  <c r="Q37" i="8"/>
  <c r="S35" i="8"/>
  <c r="R46" i="8"/>
  <c r="R59" i="8"/>
  <c r="Q45" i="8"/>
  <c r="S46" i="8"/>
  <c r="Q26" i="8"/>
  <c r="R50" i="8"/>
  <c r="S26" i="8"/>
  <c r="I40" i="8"/>
  <c r="S50" i="8"/>
  <c r="Q19" i="8"/>
  <c r="S10" i="8"/>
  <c r="S17" i="8"/>
  <c r="Q6" i="8"/>
  <c r="R11" i="8"/>
  <c r="Q12" i="8"/>
  <c r="S22" i="8"/>
  <c r="S11" i="8"/>
  <c r="R12" i="8"/>
  <c r="R19" i="8"/>
  <c r="S20" i="8"/>
  <c r="S14" i="8"/>
  <c r="R6" i="8"/>
  <c r="R7" i="8"/>
  <c r="S3" i="8"/>
  <c r="S7" i="8"/>
  <c r="I29" i="8"/>
  <c r="S16" i="8"/>
  <c r="Q23" i="8"/>
  <c r="S23" i="8"/>
  <c r="I280" i="4"/>
  <c r="I281" i="4"/>
  <c r="S21" i="8"/>
  <c r="R3" i="8"/>
  <c r="R10" i="8"/>
  <c r="S25" i="8"/>
  <c r="R35" i="8"/>
  <c r="R49" i="8"/>
  <c r="Q4" i="8"/>
  <c r="Q9" i="8"/>
  <c r="Q36" i="8"/>
  <c r="Q48" i="8"/>
  <c r="R4" i="8"/>
  <c r="R9" i="8"/>
  <c r="Q24" i="8"/>
  <c r="Q14" i="8"/>
  <c r="Q17" i="8"/>
  <c r="R36" i="8"/>
  <c r="R48" i="8"/>
  <c r="S58" i="8"/>
  <c r="R58" i="8"/>
  <c r="Q8" i="8"/>
  <c r="R24" i="8"/>
  <c r="Q13" i="8"/>
  <c r="R45" i="8"/>
  <c r="Q47" i="8"/>
  <c r="Q58" i="8"/>
  <c r="Q22" i="8"/>
  <c r="R8" i="8"/>
  <c r="R13" i="8"/>
  <c r="R47" i="8"/>
  <c r="Q15" i="8"/>
  <c r="Q18" i="8"/>
  <c r="Q5" i="8"/>
  <c r="R15" i="8"/>
  <c r="I53" i="8"/>
  <c r="R18" i="8"/>
  <c r="Q20" i="8"/>
  <c r="R5" i="8"/>
  <c r="K51" i="8"/>
  <c r="Q21" i="8"/>
  <c r="Q25" i="8"/>
  <c r="K27" i="8"/>
  <c r="K38" i="8"/>
  <c r="I62" i="8"/>
  <c r="K60" i="8"/>
  <c r="K279" i="4"/>
  <c r="I273" i="4"/>
  <c r="Q278" i="4"/>
  <c r="R278" i="4"/>
  <c r="Q270" i="4"/>
  <c r="K271" i="4"/>
  <c r="R270" i="4"/>
  <c r="I174" i="4"/>
  <c r="I247" i="4"/>
  <c r="I136" i="4"/>
  <c r="I238" i="4"/>
  <c r="I264" i="4"/>
  <c r="I256" i="4"/>
  <c r="I210" i="4"/>
  <c r="I224" i="4"/>
  <c r="R232" i="4"/>
  <c r="I265" i="4"/>
  <c r="S253" i="4"/>
  <c r="K263" i="4"/>
  <c r="Q262" i="4"/>
  <c r="R262" i="4"/>
  <c r="I257" i="4"/>
  <c r="R253" i="4"/>
  <c r="K255" i="4"/>
  <c r="Q218" i="4"/>
  <c r="Q254" i="4"/>
  <c r="R254" i="4"/>
  <c r="S232" i="4"/>
  <c r="I248" i="4"/>
  <c r="Q236" i="4"/>
  <c r="Q244" i="4"/>
  <c r="R195" i="4"/>
  <c r="R218" i="4"/>
  <c r="R236" i="4"/>
  <c r="R244" i="4"/>
  <c r="K246" i="4"/>
  <c r="S222" i="4"/>
  <c r="I239" i="4"/>
  <c r="Q235" i="4"/>
  <c r="Q245" i="4"/>
  <c r="R235" i="4"/>
  <c r="R245" i="4"/>
  <c r="S221" i="4"/>
  <c r="S230" i="4"/>
  <c r="R216" i="4"/>
  <c r="I120" i="4"/>
  <c r="Q231" i="4"/>
  <c r="K237" i="4"/>
  <c r="R207" i="4"/>
  <c r="Q221" i="4"/>
  <c r="Q222" i="4"/>
  <c r="R231" i="4"/>
  <c r="Q233" i="4"/>
  <c r="I225" i="4"/>
  <c r="R233" i="4"/>
  <c r="Q219" i="4"/>
  <c r="Q217" i="4"/>
  <c r="Q234" i="4"/>
  <c r="S219" i="4"/>
  <c r="S217" i="4"/>
  <c r="R234" i="4"/>
  <c r="Q230" i="4"/>
  <c r="Q216" i="4"/>
  <c r="S220" i="4"/>
  <c r="I164" i="4"/>
  <c r="R220" i="4"/>
  <c r="K223" i="4"/>
  <c r="I201" i="4"/>
  <c r="I211" i="4"/>
  <c r="S207" i="4"/>
  <c r="Q183" i="4"/>
  <c r="S198" i="4"/>
  <c r="Q208" i="4"/>
  <c r="K209" i="4"/>
  <c r="R208" i="4"/>
  <c r="Q196" i="4"/>
  <c r="Q185" i="4"/>
  <c r="I202" i="4"/>
  <c r="S196" i="4"/>
  <c r="R198" i="4"/>
  <c r="I175" i="4"/>
  <c r="Q172" i="4"/>
  <c r="K200" i="4"/>
  <c r="R172" i="4"/>
  <c r="Q184" i="4"/>
  <c r="Q199" i="4"/>
  <c r="S184" i="4"/>
  <c r="R199" i="4"/>
  <c r="S187" i="4"/>
  <c r="I189" i="4"/>
  <c r="Q197" i="4"/>
  <c r="R181" i="4"/>
  <c r="R197" i="4"/>
  <c r="Q195" i="4"/>
  <c r="I190" i="4"/>
  <c r="R185" i="4"/>
  <c r="R183" i="4"/>
  <c r="K173" i="4"/>
  <c r="P175" i="4" s="1"/>
  <c r="B305" i="4" s="1"/>
  <c r="Q186" i="4"/>
  <c r="K188" i="4"/>
  <c r="R186" i="4"/>
  <c r="Q180" i="4"/>
  <c r="S150" i="4"/>
  <c r="R180" i="4"/>
  <c r="Q182" i="4"/>
  <c r="S131" i="4"/>
  <c r="Q187" i="4"/>
  <c r="R182" i="4"/>
  <c r="Q181" i="4"/>
  <c r="S158" i="4"/>
  <c r="Q146" i="4"/>
  <c r="S170" i="4"/>
  <c r="Q171" i="4"/>
  <c r="S132" i="4"/>
  <c r="Q128" i="4"/>
  <c r="Q144" i="4"/>
  <c r="R171" i="4"/>
  <c r="S161" i="4"/>
  <c r="I165" i="4"/>
  <c r="Q150" i="4"/>
  <c r="K163" i="4"/>
  <c r="S165" i="4" s="1"/>
  <c r="R158" i="4"/>
  <c r="R162" i="4"/>
  <c r="Q170" i="4"/>
  <c r="S162" i="4"/>
  <c r="I153" i="4"/>
  <c r="S143" i="4"/>
  <c r="R161" i="4"/>
  <c r="Q129" i="4"/>
  <c r="Q148" i="4"/>
  <c r="R159" i="4"/>
  <c r="Q159" i="4"/>
  <c r="S118" i="4"/>
  <c r="S148" i="4"/>
  <c r="R146" i="4"/>
  <c r="R144" i="4"/>
  <c r="Q149" i="4"/>
  <c r="I152" i="4"/>
  <c r="Q160" i="4"/>
  <c r="R149" i="4"/>
  <c r="R160" i="4"/>
  <c r="Q147" i="4"/>
  <c r="Q143" i="4"/>
  <c r="R129" i="4"/>
  <c r="Q134" i="4"/>
  <c r="Q126" i="4"/>
  <c r="R127" i="4"/>
  <c r="Q145" i="4"/>
  <c r="R134" i="4"/>
  <c r="R126" i="4"/>
  <c r="Q142" i="4"/>
  <c r="R145" i="4"/>
  <c r="K151" i="4"/>
  <c r="R142" i="4"/>
  <c r="R109" i="4"/>
  <c r="K119" i="4"/>
  <c r="S121" i="4" s="1"/>
  <c r="Q111" i="4"/>
  <c r="I137" i="4"/>
  <c r="Q115" i="4"/>
  <c r="Q118" i="4"/>
  <c r="R111" i="4"/>
  <c r="R128" i="4"/>
  <c r="R147" i="4"/>
  <c r="R115" i="4"/>
  <c r="I121" i="4"/>
  <c r="R132" i="4"/>
  <c r="R131" i="4"/>
  <c r="Q127" i="4"/>
  <c r="Q110" i="4"/>
  <c r="R117" i="4"/>
  <c r="Q130" i="4"/>
  <c r="K135" i="4"/>
  <c r="R130" i="4"/>
  <c r="S110" i="4"/>
  <c r="R110" i="4"/>
  <c r="S116" i="4"/>
  <c r="Q133" i="4"/>
  <c r="R133" i="4"/>
  <c r="S109" i="4"/>
  <c r="S117" i="4"/>
  <c r="Q116" i="4"/>
  <c r="Q114" i="4"/>
  <c r="Q112" i="4"/>
  <c r="R112" i="4"/>
  <c r="S114" i="4"/>
  <c r="Q113" i="4"/>
  <c r="R113" i="4"/>
  <c r="S96" i="8" l="1"/>
  <c r="P96" i="8"/>
  <c r="B142" i="8" s="1"/>
  <c r="C142" i="8" s="1"/>
  <c r="M96" i="8"/>
  <c r="S82" i="8"/>
  <c r="P82" i="8"/>
  <c r="B139" i="8" s="1"/>
  <c r="C139" i="8" s="1"/>
  <c r="M82" i="8"/>
  <c r="S73" i="8"/>
  <c r="P73" i="8"/>
  <c r="B138" i="8" s="1"/>
  <c r="C138" i="8" s="1"/>
  <c r="M73" i="8"/>
  <c r="S62" i="8"/>
  <c r="P62" i="8"/>
  <c r="B136" i="8" s="1"/>
  <c r="C136" i="8" s="1"/>
  <c r="M62" i="8"/>
  <c r="S53" i="8"/>
  <c r="P53" i="8"/>
  <c r="B135" i="8" s="1"/>
  <c r="C135" i="8" s="1"/>
  <c r="M53" i="8"/>
  <c r="S40" i="8"/>
  <c r="P40" i="8"/>
  <c r="B134" i="8" s="1"/>
  <c r="C134" i="8" s="1"/>
  <c r="M40" i="8"/>
  <c r="S29" i="8"/>
  <c r="P29" i="8"/>
  <c r="M29" i="8"/>
  <c r="S281" i="4"/>
  <c r="P281" i="4"/>
  <c r="B315" i="4" s="1"/>
  <c r="C315" i="4" s="1"/>
  <c r="M281" i="4"/>
  <c r="S273" i="4"/>
  <c r="P273" i="4"/>
  <c r="B314" i="4" s="1"/>
  <c r="C314" i="4" s="1"/>
  <c r="M273" i="4"/>
  <c r="S265" i="4"/>
  <c r="P265" i="4"/>
  <c r="B313" i="4" s="1"/>
  <c r="C313" i="4" s="1"/>
  <c r="M265" i="4"/>
  <c r="S257" i="4"/>
  <c r="P257" i="4"/>
  <c r="B312" i="4" s="1"/>
  <c r="C312" i="4" s="1"/>
  <c r="M257" i="4"/>
  <c r="S248" i="4"/>
  <c r="P248" i="4"/>
  <c r="B311" i="4" s="1"/>
  <c r="C311" i="4" s="1"/>
  <c r="M248" i="4"/>
  <c r="S239" i="4"/>
  <c r="P239" i="4"/>
  <c r="B310" i="4" s="1"/>
  <c r="C310" i="4" s="1"/>
  <c r="M239" i="4"/>
  <c r="S225" i="4"/>
  <c r="P225" i="4"/>
  <c r="B309" i="4" s="1"/>
  <c r="C309" i="4" s="1"/>
  <c r="M225" i="4"/>
  <c r="M165" i="4"/>
  <c r="S211" i="4"/>
  <c r="P211" i="4"/>
  <c r="B308" i="4" s="1"/>
  <c r="C308" i="4" s="1"/>
  <c r="M211" i="4"/>
  <c r="S202" i="4"/>
  <c r="P202" i="4"/>
  <c r="B307" i="4" s="1"/>
  <c r="C307" i="4" s="1"/>
  <c r="M202" i="4"/>
  <c r="S175" i="4"/>
  <c r="S190" i="4"/>
  <c r="P190" i="4"/>
  <c r="B306" i="4" s="1"/>
  <c r="C306" i="4" s="1"/>
  <c r="M190" i="4"/>
  <c r="M175" i="4"/>
  <c r="P165" i="4"/>
  <c r="B304" i="4" s="1"/>
  <c r="C304" i="4" s="1"/>
  <c r="M121" i="4"/>
  <c r="P121" i="4"/>
  <c r="B301" i="4" s="1"/>
  <c r="C301" i="4" s="1"/>
  <c r="S153" i="4"/>
  <c r="P153" i="4"/>
  <c r="B303" i="4" s="1"/>
  <c r="C303" i="4" s="1"/>
  <c r="M153" i="4"/>
  <c r="S137" i="4"/>
  <c r="P137" i="4"/>
  <c r="B302" i="4" s="1"/>
  <c r="C302" i="4" s="1"/>
  <c r="M137" i="4"/>
  <c r="C305" i="4"/>
  <c r="O25" i="7" l="1"/>
  <c r="O34" i="7"/>
  <c r="P30" i="7"/>
  <c r="O30" i="7"/>
  <c r="M30" i="7"/>
  <c r="L30" i="7"/>
  <c r="J30" i="7"/>
  <c r="H30" i="7"/>
  <c r="G30" i="7"/>
  <c r="D30" i="7"/>
  <c r="K29" i="7"/>
  <c r="R29" i="7" s="1"/>
  <c r="I29" i="7"/>
  <c r="K28" i="7"/>
  <c r="R28" i="7" s="1"/>
  <c r="I28" i="7"/>
  <c r="I32" i="7" s="1"/>
  <c r="R222" i="6"/>
  <c r="I209" i="6"/>
  <c r="K209" i="6"/>
  <c r="S209" i="6" s="1"/>
  <c r="R214" i="6"/>
  <c r="R195" i="6"/>
  <c r="R180" i="6"/>
  <c r="R170" i="6"/>
  <c r="P166" i="6"/>
  <c r="O166" i="6"/>
  <c r="M166" i="6"/>
  <c r="L166" i="6"/>
  <c r="J166" i="6"/>
  <c r="H166" i="6"/>
  <c r="G166" i="6"/>
  <c r="D166" i="6"/>
  <c r="K165" i="6"/>
  <c r="S165" i="6" s="1"/>
  <c r="I165" i="6"/>
  <c r="K164" i="6"/>
  <c r="S164" i="6" s="1"/>
  <c r="I164" i="6"/>
  <c r="K163" i="6"/>
  <c r="Q163" i="6" s="1"/>
  <c r="I163" i="6"/>
  <c r="R159" i="6"/>
  <c r="R149" i="6"/>
  <c r="R125" i="6"/>
  <c r="Q29" i="7" l="1"/>
  <c r="S29" i="7"/>
  <c r="I31" i="7"/>
  <c r="Q28" i="7"/>
  <c r="S28" i="7"/>
  <c r="K30" i="7"/>
  <c r="Q209" i="6"/>
  <c r="R209" i="6"/>
  <c r="I168" i="6"/>
  <c r="I167" i="6"/>
  <c r="R165" i="6"/>
  <c r="R163" i="6"/>
  <c r="S163" i="6"/>
  <c r="K166" i="6"/>
  <c r="R164" i="6"/>
  <c r="Q164" i="6"/>
  <c r="Q165" i="6"/>
  <c r="R115" i="6"/>
  <c r="P121" i="6"/>
  <c r="O121" i="6"/>
  <c r="M121" i="6"/>
  <c r="L121" i="6"/>
  <c r="J121" i="6"/>
  <c r="H121" i="6"/>
  <c r="G121" i="6"/>
  <c r="D121" i="6"/>
  <c r="K120" i="6"/>
  <c r="S120" i="6" s="1"/>
  <c r="I120" i="6"/>
  <c r="K119" i="6"/>
  <c r="S119" i="6" s="1"/>
  <c r="I119" i="6"/>
  <c r="K118" i="6"/>
  <c r="S118" i="6" s="1"/>
  <c r="I118" i="6"/>
  <c r="R103" i="6"/>
  <c r="R90" i="6"/>
  <c r="P218" i="6"/>
  <c r="O218" i="6"/>
  <c r="M218" i="6"/>
  <c r="L218" i="6"/>
  <c r="J218" i="6"/>
  <c r="H218" i="6"/>
  <c r="G218" i="6"/>
  <c r="D218" i="6"/>
  <c r="K217" i="6"/>
  <c r="Q217" i="6" s="1"/>
  <c r="I217" i="6"/>
  <c r="P210" i="6"/>
  <c r="O210" i="6"/>
  <c r="M210" i="6"/>
  <c r="L210" i="6"/>
  <c r="J210" i="6"/>
  <c r="H210" i="6"/>
  <c r="G210" i="6"/>
  <c r="D210" i="6"/>
  <c r="K203" i="6"/>
  <c r="I203" i="6"/>
  <c r="K205" i="6"/>
  <c r="S205" i="6" s="1"/>
  <c r="I205" i="6"/>
  <c r="K204" i="6"/>
  <c r="S204" i="6" s="1"/>
  <c r="I204" i="6"/>
  <c r="K199" i="6"/>
  <c r="Q199" i="6" s="1"/>
  <c r="I199" i="6"/>
  <c r="K200" i="6"/>
  <c r="R200" i="6" s="1"/>
  <c r="I200" i="6"/>
  <c r="K202" i="6"/>
  <c r="Q202" i="6" s="1"/>
  <c r="I202" i="6"/>
  <c r="K198" i="6"/>
  <c r="R198" i="6" s="1"/>
  <c r="I198" i="6"/>
  <c r="K201" i="6"/>
  <c r="S201" i="6" s="1"/>
  <c r="I201" i="6"/>
  <c r="K206" i="6"/>
  <c r="S206" i="6" s="1"/>
  <c r="I206" i="6"/>
  <c r="K207" i="6"/>
  <c r="Q207" i="6" s="1"/>
  <c r="I207" i="6"/>
  <c r="K208" i="6"/>
  <c r="Q208" i="6" s="1"/>
  <c r="I208" i="6"/>
  <c r="P191" i="6"/>
  <c r="O191" i="6"/>
  <c r="M191" i="6"/>
  <c r="L191" i="6"/>
  <c r="J191" i="6"/>
  <c r="H191" i="6"/>
  <c r="G191" i="6"/>
  <c r="D191" i="6"/>
  <c r="K189" i="6"/>
  <c r="I189" i="6"/>
  <c r="K188" i="6"/>
  <c r="S188" i="6" s="1"/>
  <c r="I188" i="6"/>
  <c r="K186" i="6"/>
  <c r="S186" i="6" s="1"/>
  <c r="I186" i="6"/>
  <c r="K187" i="6"/>
  <c r="Q187" i="6" s="1"/>
  <c r="I187" i="6"/>
  <c r="K185" i="6"/>
  <c r="R185" i="6" s="1"/>
  <c r="I185" i="6"/>
  <c r="K190" i="6"/>
  <c r="R190" i="6" s="1"/>
  <c r="I190" i="6"/>
  <c r="P176" i="6"/>
  <c r="O176" i="6"/>
  <c r="M176" i="6"/>
  <c r="L176" i="6"/>
  <c r="J176" i="6"/>
  <c r="H176" i="6"/>
  <c r="G176" i="6"/>
  <c r="D176" i="6"/>
  <c r="K175" i="6"/>
  <c r="Q175" i="6" s="1"/>
  <c r="I175" i="6"/>
  <c r="K174" i="6"/>
  <c r="S174" i="6" s="1"/>
  <c r="I174" i="6"/>
  <c r="P155" i="6"/>
  <c r="O155" i="6"/>
  <c r="M155" i="6"/>
  <c r="L155" i="6"/>
  <c r="J155" i="6"/>
  <c r="H155" i="6"/>
  <c r="G155" i="6"/>
  <c r="D155" i="6"/>
  <c r="K154" i="6"/>
  <c r="Q154" i="6" s="1"/>
  <c r="I154" i="6"/>
  <c r="K153" i="6"/>
  <c r="R153" i="6" s="1"/>
  <c r="I153" i="6"/>
  <c r="K152" i="6"/>
  <c r="S152" i="6" s="1"/>
  <c r="I152" i="6"/>
  <c r="P145" i="6"/>
  <c r="O145" i="6"/>
  <c r="M145" i="6"/>
  <c r="L145" i="6"/>
  <c r="J145" i="6"/>
  <c r="H145" i="6"/>
  <c r="G145" i="6"/>
  <c r="D145" i="6"/>
  <c r="K143" i="6"/>
  <c r="S143" i="6" s="1"/>
  <c r="I143" i="6"/>
  <c r="K128" i="6"/>
  <c r="R128" i="6" s="1"/>
  <c r="I128" i="6"/>
  <c r="K131" i="6"/>
  <c r="S131" i="6" s="1"/>
  <c r="I131" i="6"/>
  <c r="K137" i="6"/>
  <c r="S137" i="6" s="1"/>
  <c r="I137" i="6"/>
  <c r="K134" i="6"/>
  <c r="S134" i="6" s="1"/>
  <c r="I134" i="6"/>
  <c r="K140" i="6"/>
  <c r="S140" i="6" s="1"/>
  <c r="I140" i="6"/>
  <c r="K142" i="6"/>
  <c r="R142" i="6" s="1"/>
  <c r="I142" i="6"/>
  <c r="K135" i="6"/>
  <c r="S135" i="6" s="1"/>
  <c r="I135" i="6"/>
  <c r="K141" i="6"/>
  <c r="R141" i="6" s="1"/>
  <c r="I141" i="6"/>
  <c r="K130" i="6"/>
  <c r="S130" i="6" s="1"/>
  <c r="I130" i="6"/>
  <c r="K132" i="6"/>
  <c r="R132" i="6" s="1"/>
  <c r="I132" i="6"/>
  <c r="K136" i="6"/>
  <c r="S136" i="6" s="1"/>
  <c r="I136" i="6"/>
  <c r="K129" i="6"/>
  <c r="S129" i="6" s="1"/>
  <c r="I129" i="6"/>
  <c r="K144" i="6"/>
  <c r="S144" i="6" s="1"/>
  <c r="I144" i="6"/>
  <c r="K138" i="6"/>
  <c r="S138" i="6" s="1"/>
  <c r="I138" i="6"/>
  <c r="K133" i="6"/>
  <c r="S133" i="6" s="1"/>
  <c r="I133" i="6"/>
  <c r="K139" i="6"/>
  <c r="Q139" i="6" s="1"/>
  <c r="I139" i="6"/>
  <c r="P111" i="6"/>
  <c r="O111" i="6"/>
  <c r="M111" i="6"/>
  <c r="L111" i="6"/>
  <c r="J111" i="6"/>
  <c r="H111" i="6"/>
  <c r="G111" i="6"/>
  <c r="D111" i="6"/>
  <c r="K110" i="6"/>
  <c r="S110" i="6" s="1"/>
  <c r="I110" i="6"/>
  <c r="K109" i="6"/>
  <c r="S109" i="6" s="1"/>
  <c r="I109" i="6"/>
  <c r="K108" i="6"/>
  <c r="S108" i="6" s="1"/>
  <c r="I108" i="6"/>
  <c r="K107" i="6"/>
  <c r="R107" i="6" s="1"/>
  <c r="I107" i="6"/>
  <c r="K106" i="6"/>
  <c r="R106" i="6" s="1"/>
  <c r="I106" i="6"/>
  <c r="P99" i="6"/>
  <c r="O99" i="6"/>
  <c r="M99" i="6"/>
  <c r="L99" i="6"/>
  <c r="J99" i="6"/>
  <c r="H99" i="6"/>
  <c r="G99" i="6"/>
  <c r="D99" i="6"/>
  <c r="K98" i="6"/>
  <c r="S98" i="6" s="1"/>
  <c r="I98" i="6"/>
  <c r="K97" i="6"/>
  <c r="Q97" i="6" s="1"/>
  <c r="I97" i="6"/>
  <c r="K96" i="6"/>
  <c r="R96" i="6" s="1"/>
  <c r="I96" i="6"/>
  <c r="K95" i="6"/>
  <c r="S95" i="6" s="1"/>
  <c r="I95" i="6"/>
  <c r="K94" i="6"/>
  <c r="R94" i="6" s="1"/>
  <c r="I94" i="6"/>
  <c r="K93" i="6"/>
  <c r="S93" i="6" s="1"/>
  <c r="I93" i="6"/>
  <c r="P86" i="6"/>
  <c r="O86" i="6"/>
  <c r="M86" i="6"/>
  <c r="L86" i="6"/>
  <c r="J86" i="6"/>
  <c r="H86" i="6"/>
  <c r="G86" i="6"/>
  <c r="D86" i="6"/>
  <c r="K85" i="6"/>
  <c r="S85" i="6" s="1"/>
  <c r="I85" i="6"/>
  <c r="K84" i="6"/>
  <c r="S84" i="6" s="1"/>
  <c r="I84" i="6"/>
  <c r="I7" i="3"/>
  <c r="K7" i="3"/>
  <c r="Q7" i="3" s="1"/>
  <c r="I8" i="3"/>
  <c r="K8" i="3"/>
  <c r="Q8" i="3" s="1"/>
  <c r="I9" i="3"/>
  <c r="K9" i="3"/>
  <c r="Q9" i="3" s="1"/>
  <c r="I10" i="3"/>
  <c r="K10" i="3"/>
  <c r="Q10" i="3" s="1"/>
  <c r="R10" i="3"/>
  <c r="S10" i="3"/>
  <c r="I11" i="3"/>
  <c r="K11" i="3"/>
  <c r="S11" i="3" s="1"/>
  <c r="I12" i="3"/>
  <c r="K12" i="3"/>
  <c r="Q12" i="3" s="1"/>
  <c r="I13" i="3"/>
  <c r="K13" i="3"/>
  <c r="R13" i="3" s="1"/>
  <c r="I14" i="3"/>
  <c r="K14" i="3"/>
  <c r="Q14" i="3" s="1"/>
  <c r="I15" i="3"/>
  <c r="K15" i="3"/>
  <c r="Q15" i="3" s="1"/>
  <c r="I16" i="3"/>
  <c r="K16" i="3"/>
  <c r="R16" i="3" s="1"/>
  <c r="I17" i="3"/>
  <c r="K17" i="3"/>
  <c r="Q17" i="3" s="1"/>
  <c r="I18" i="3"/>
  <c r="K18" i="3"/>
  <c r="Q18" i="3" s="1"/>
  <c r="I19" i="3"/>
  <c r="K19" i="3"/>
  <c r="R19" i="3" s="1"/>
  <c r="I20" i="3"/>
  <c r="K20" i="3"/>
  <c r="Q20" i="3" s="1"/>
  <c r="I21" i="3"/>
  <c r="K21" i="3"/>
  <c r="Q21" i="3" s="1"/>
  <c r="I22" i="3"/>
  <c r="K22" i="3"/>
  <c r="R22" i="3" s="1"/>
  <c r="I23" i="3"/>
  <c r="K23" i="3"/>
  <c r="S23" i="3" s="1"/>
  <c r="I24" i="3"/>
  <c r="K24" i="3"/>
  <c r="Q24" i="3" s="1"/>
  <c r="I25" i="3"/>
  <c r="K25" i="3"/>
  <c r="Q25" i="3" s="1"/>
  <c r="I26" i="3"/>
  <c r="K26" i="3"/>
  <c r="S26" i="3" s="1"/>
  <c r="I27" i="3"/>
  <c r="K27" i="3"/>
  <c r="R27" i="3" s="1"/>
  <c r="I28" i="3"/>
  <c r="K28" i="3"/>
  <c r="R28" i="3" s="1"/>
  <c r="P87" i="3"/>
  <c r="O87" i="3"/>
  <c r="M87" i="3"/>
  <c r="L87" i="3"/>
  <c r="J87" i="3"/>
  <c r="H87" i="3"/>
  <c r="G87" i="3"/>
  <c r="D87" i="3"/>
  <c r="K82" i="3"/>
  <c r="S82" i="3" s="1"/>
  <c r="I82" i="3"/>
  <c r="K86" i="3"/>
  <c r="S86" i="3" s="1"/>
  <c r="I86" i="3"/>
  <c r="K84" i="3"/>
  <c r="Q84" i="3" s="1"/>
  <c r="I84" i="3"/>
  <c r="K83" i="3"/>
  <c r="S83" i="3" s="1"/>
  <c r="I83" i="3"/>
  <c r="K85" i="3"/>
  <c r="S85" i="3" s="1"/>
  <c r="I85" i="3"/>
  <c r="P75" i="3"/>
  <c r="O75" i="3"/>
  <c r="M75" i="3"/>
  <c r="L75" i="3"/>
  <c r="J75" i="3"/>
  <c r="H75" i="3"/>
  <c r="G75" i="3"/>
  <c r="D75" i="3"/>
  <c r="K70" i="3"/>
  <c r="R70" i="3" s="1"/>
  <c r="I70" i="3"/>
  <c r="K73" i="3"/>
  <c r="S73" i="3" s="1"/>
  <c r="I73" i="3"/>
  <c r="K74" i="3"/>
  <c r="R74" i="3" s="1"/>
  <c r="I74" i="3"/>
  <c r="K72" i="3"/>
  <c r="S72" i="3" s="1"/>
  <c r="I72" i="3"/>
  <c r="K71" i="3"/>
  <c r="R71" i="3" s="1"/>
  <c r="I71" i="3"/>
  <c r="P63" i="3"/>
  <c r="O63" i="3"/>
  <c r="M63" i="3"/>
  <c r="L63" i="3"/>
  <c r="J63" i="3"/>
  <c r="H63" i="3"/>
  <c r="G63" i="3"/>
  <c r="D63" i="3"/>
  <c r="K62" i="3"/>
  <c r="S62" i="3" s="1"/>
  <c r="I62" i="3"/>
  <c r="P55" i="3"/>
  <c r="O55" i="3"/>
  <c r="M55" i="3"/>
  <c r="L55" i="3"/>
  <c r="J55" i="3"/>
  <c r="H55" i="3"/>
  <c r="G55" i="3"/>
  <c r="D55" i="3"/>
  <c r="K54" i="3"/>
  <c r="S54" i="3" s="1"/>
  <c r="I54" i="3"/>
  <c r="P47" i="3"/>
  <c r="O47" i="3"/>
  <c r="M47" i="3"/>
  <c r="L47" i="3"/>
  <c r="J47" i="3"/>
  <c r="H47" i="3"/>
  <c r="G47" i="3"/>
  <c r="D47" i="3"/>
  <c r="K39" i="3"/>
  <c r="S39" i="3" s="1"/>
  <c r="I39" i="3"/>
  <c r="K38" i="3"/>
  <c r="S38" i="3" s="1"/>
  <c r="I38" i="3"/>
  <c r="K36" i="3"/>
  <c r="S36" i="3" s="1"/>
  <c r="I36" i="3"/>
  <c r="K37" i="3"/>
  <c r="R37" i="3" s="1"/>
  <c r="I37" i="3"/>
  <c r="K46" i="3"/>
  <c r="Q46" i="3" s="1"/>
  <c r="I46" i="3"/>
  <c r="K43" i="3"/>
  <c r="S43" i="3" s="1"/>
  <c r="I43" i="3"/>
  <c r="K42" i="3"/>
  <c r="S42" i="3" s="1"/>
  <c r="I42" i="3"/>
  <c r="K45" i="3"/>
  <c r="S45" i="3" s="1"/>
  <c r="I45" i="3"/>
  <c r="K44" i="3"/>
  <c r="S44" i="3" s="1"/>
  <c r="I44" i="3"/>
  <c r="K40" i="3"/>
  <c r="R40" i="3" s="1"/>
  <c r="I40" i="3"/>
  <c r="K41" i="3"/>
  <c r="Q41" i="3" s="1"/>
  <c r="I41" i="3"/>
  <c r="P21" i="7"/>
  <c r="O21" i="7"/>
  <c r="M21" i="7"/>
  <c r="L21" i="7"/>
  <c r="J21" i="7"/>
  <c r="H21" i="7"/>
  <c r="G21" i="7"/>
  <c r="D21" i="7"/>
  <c r="K5" i="7"/>
  <c r="Q5" i="7" s="1"/>
  <c r="I5" i="7"/>
  <c r="K4" i="7"/>
  <c r="S4" i="7" s="1"/>
  <c r="I4" i="7"/>
  <c r="K6" i="7"/>
  <c r="S6" i="7" s="1"/>
  <c r="I6" i="7"/>
  <c r="K7" i="7"/>
  <c r="R7" i="7" s="1"/>
  <c r="I7" i="7"/>
  <c r="K8" i="7"/>
  <c r="I8" i="7"/>
  <c r="K9" i="7"/>
  <c r="Q9" i="7" s="1"/>
  <c r="I9" i="7"/>
  <c r="K10" i="7"/>
  <c r="Q10" i="7" s="1"/>
  <c r="I10" i="7"/>
  <c r="K11" i="7"/>
  <c r="I11" i="7"/>
  <c r="K14" i="7"/>
  <c r="S14" i="7" s="1"/>
  <c r="I14" i="7"/>
  <c r="K13" i="7"/>
  <c r="R13" i="7" s="1"/>
  <c r="I13" i="7"/>
  <c r="K12" i="7"/>
  <c r="Q12" i="7" s="1"/>
  <c r="I12" i="7"/>
  <c r="K15" i="7"/>
  <c r="S15" i="7" s="1"/>
  <c r="I15" i="7"/>
  <c r="K16" i="7"/>
  <c r="I16" i="7"/>
  <c r="K17" i="7"/>
  <c r="I17" i="7"/>
  <c r="K18" i="7"/>
  <c r="S18" i="7" s="1"/>
  <c r="I18" i="7"/>
  <c r="K20" i="7"/>
  <c r="R20" i="7" s="1"/>
  <c r="I20" i="7"/>
  <c r="K19" i="7"/>
  <c r="Q19" i="7" s="1"/>
  <c r="I19" i="7"/>
  <c r="P77" i="6"/>
  <c r="O77" i="6"/>
  <c r="M77" i="6"/>
  <c r="L77" i="6"/>
  <c r="J77" i="6"/>
  <c r="H77" i="6"/>
  <c r="G77" i="6"/>
  <c r="D77" i="6"/>
  <c r="K16" i="6"/>
  <c r="S16" i="6" s="1"/>
  <c r="I16" i="6"/>
  <c r="K55" i="6"/>
  <c r="I55" i="6"/>
  <c r="K46" i="6"/>
  <c r="I46" i="6"/>
  <c r="K20" i="6"/>
  <c r="R20" i="6" s="1"/>
  <c r="I20" i="6"/>
  <c r="K15" i="6"/>
  <c r="Q15" i="6" s="1"/>
  <c r="I15" i="6"/>
  <c r="K17" i="6"/>
  <c r="S17" i="6" s="1"/>
  <c r="I17" i="6"/>
  <c r="K50" i="6"/>
  <c r="S50" i="6" s="1"/>
  <c r="I50" i="6"/>
  <c r="K49" i="6"/>
  <c r="Q49" i="6" s="1"/>
  <c r="I49" i="6"/>
  <c r="K44" i="6"/>
  <c r="I44" i="6"/>
  <c r="K74" i="6"/>
  <c r="S74" i="6" s="1"/>
  <c r="I74" i="6"/>
  <c r="K67" i="6"/>
  <c r="Q67" i="6" s="1"/>
  <c r="I67" i="6"/>
  <c r="K36" i="6"/>
  <c r="Q36" i="6" s="1"/>
  <c r="I36" i="6"/>
  <c r="K41" i="6"/>
  <c r="Q41" i="6" s="1"/>
  <c r="I41" i="6"/>
  <c r="K29" i="6"/>
  <c r="Q29" i="6" s="1"/>
  <c r="I29" i="6"/>
  <c r="K10" i="6"/>
  <c r="I10" i="6"/>
  <c r="K40" i="6"/>
  <c r="R40" i="6" s="1"/>
  <c r="I40" i="6"/>
  <c r="K43" i="6"/>
  <c r="Q43" i="6" s="1"/>
  <c r="I43" i="6"/>
  <c r="K56" i="6"/>
  <c r="S56" i="6" s="1"/>
  <c r="I56" i="6"/>
  <c r="K32" i="6"/>
  <c r="I32" i="6"/>
  <c r="K23" i="6"/>
  <c r="I23" i="6"/>
  <c r="K76" i="6"/>
  <c r="I76" i="6"/>
  <c r="K70" i="6"/>
  <c r="S70" i="6" s="1"/>
  <c r="I70" i="6"/>
  <c r="K25" i="6"/>
  <c r="Q25" i="6" s="1"/>
  <c r="I25" i="6"/>
  <c r="K42" i="6"/>
  <c r="Q42" i="6" s="1"/>
  <c r="I42" i="6"/>
  <c r="K66" i="6"/>
  <c r="S66" i="6" s="1"/>
  <c r="I66" i="6"/>
  <c r="K6" i="6"/>
  <c r="Q6" i="6" s="1"/>
  <c r="I6" i="6"/>
  <c r="K31" i="6"/>
  <c r="I31" i="6"/>
  <c r="K69" i="6"/>
  <c r="Q69" i="6" s="1"/>
  <c r="I69" i="6"/>
  <c r="K47" i="6"/>
  <c r="Q47" i="6" s="1"/>
  <c r="I47" i="6"/>
  <c r="K11" i="6"/>
  <c r="S11" i="6" s="1"/>
  <c r="I11" i="6"/>
  <c r="K68" i="6"/>
  <c r="S68" i="6" s="1"/>
  <c r="I68" i="6"/>
  <c r="K38" i="6"/>
  <c r="Q38" i="6" s="1"/>
  <c r="I38" i="6"/>
  <c r="K22" i="6"/>
  <c r="I22" i="6"/>
  <c r="K34" i="6"/>
  <c r="S34" i="6" s="1"/>
  <c r="I34" i="6"/>
  <c r="K39" i="6"/>
  <c r="S39" i="6" s="1"/>
  <c r="I39" i="6"/>
  <c r="K30" i="6"/>
  <c r="S30" i="6" s="1"/>
  <c r="I30" i="6"/>
  <c r="K13" i="6"/>
  <c r="S13" i="6" s="1"/>
  <c r="I13" i="6"/>
  <c r="K72" i="6"/>
  <c r="Q72" i="6" s="1"/>
  <c r="I72" i="6"/>
  <c r="K71" i="6"/>
  <c r="I71" i="6"/>
  <c r="K58" i="6"/>
  <c r="S58" i="6" s="1"/>
  <c r="I58" i="6"/>
  <c r="K57" i="6"/>
  <c r="R57" i="6" s="1"/>
  <c r="I57" i="6"/>
  <c r="K26" i="6"/>
  <c r="Q26" i="6" s="1"/>
  <c r="I26" i="6"/>
  <c r="K48" i="6"/>
  <c r="S48" i="6" s="1"/>
  <c r="I48" i="6"/>
  <c r="K19" i="6"/>
  <c r="Q19" i="6" s="1"/>
  <c r="I19" i="6"/>
  <c r="K7" i="6"/>
  <c r="I7" i="6"/>
  <c r="K24" i="6"/>
  <c r="Q24" i="6" s="1"/>
  <c r="I24" i="6"/>
  <c r="K59" i="6"/>
  <c r="Q59" i="6" s="1"/>
  <c r="I59" i="6"/>
  <c r="K37" i="6"/>
  <c r="S37" i="6" s="1"/>
  <c r="I37" i="6"/>
  <c r="K60" i="6"/>
  <c r="S60" i="6" s="1"/>
  <c r="I60" i="6"/>
  <c r="K33" i="6"/>
  <c r="I33" i="6"/>
  <c r="K5" i="6"/>
  <c r="I5" i="6"/>
  <c r="K64" i="6"/>
  <c r="S64" i="6" s="1"/>
  <c r="I64" i="6"/>
  <c r="K18" i="6"/>
  <c r="S18" i="6" s="1"/>
  <c r="I18" i="6"/>
  <c r="K63" i="6"/>
  <c r="S63" i="6" s="1"/>
  <c r="I63" i="6"/>
  <c r="K73" i="6"/>
  <c r="S73" i="6" s="1"/>
  <c r="I73" i="6"/>
  <c r="K52" i="6"/>
  <c r="Q52" i="6" s="1"/>
  <c r="I52" i="6"/>
  <c r="K35" i="6"/>
  <c r="I35" i="6"/>
  <c r="K8" i="6"/>
  <c r="S8" i="6" s="1"/>
  <c r="I8" i="6"/>
  <c r="K12" i="6"/>
  <c r="S12" i="6" s="1"/>
  <c r="I12" i="6"/>
  <c r="K4" i="6"/>
  <c r="R4" i="6" s="1"/>
  <c r="I4" i="6"/>
  <c r="K62" i="6"/>
  <c r="S62" i="6" s="1"/>
  <c r="I62" i="6"/>
  <c r="K45" i="6"/>
  <c r="I45" i="6"/>
  <c r="K27" i="6"/>
  <c r="I27" i="6"/>
  <c r="K28" i="6"/>
  <c r="R28" i="6" s="1"/>
  <c r="I28" i="6"/>
  <c r="K21" i="6"/>
  <c r="Q21" i="6" s="1"/>
  <c r="I21" i="6"/>
  <c r="K51" i="6"/>
  <c r="I51" i="6"/>
  <c r="K9" i="6"/>
  <c r="S9" i="6" s="1"/>
  <c r="I9" i="6"/>
  <c r="K75" i="6"/>
  <c r="R75" i="6" s="1"/>
  <c r="I75" i="6"/>
  <c r="K65" i="6"/>
  <c r="I65" i="6"/>
  <c r="K61" i="6"/>
  <c r="S61" i="6" s="1"/>
  <c r="I61" i="6"/>
  <c r="K53" i="6"/>
  <c r="R53" i="6" s="1"/>
  <c r="I53" i="6"/>
  <c r="K14" i="6"/>
  <c r="Q14" i="6" s="1"/>
  <c r="I14" i="6"/>
  <c r="K54" i="6"/>
  <c r="Q54" i="6" s="1"/>
  <c r="I54" i="6"/>
  <c r="P3" i="5"/>
  <c r="O3" i="5"/>
  <c r="M3" i="5"/>
  <c r="L3" i="5"/>
  <c r="J3" i="5"/>
  <c r="H3" i="5"/>
  <c r="G3" i="5"/>
  <c r="D3" i="5"/>
  <c r="I5" i="5"/>
  <c r="S2" i="5"/>
  <c r="R2" i="5"/>
  <c r="Q2" i="5"/>
  <c r="K2" i="5"/>
  <c r="I2" i="5"/>
  <c r="P101" i="4"/>
  <c r="O101" i="4"/>
  <c r="M101" i="4"/>
  <c r="L101" i="4"/>
  <c r="J101" i="4"/>
  <c r="H101" i="4"/>
  <c r="G101" i="4"/>
  <c r="D101" i="4"/>
  <c r="K57" i="4"/>
  <c r="S57" i="4" s="1"/>
  <c r="I57" i="4"/>
  <c r="K64" i="4"/>
  <c r="R64" i="4" s="1"/>
  <c r="I64" i="4"/>
  <c r="K44" i="4"/>
  <c r="R44" i="4" s="1"/>
  <c r="I44" i="4"/>
  <c r="K32" i="4"/>
  <c r="Q32" i="4" s="1"/>
  <c r="I32" i="4"/>
  <c r="K59" i="4"/>
  <c r="Q59" i="4" s="1"/>
  <c r="I59" i="4"/>
  <c r="K45" i="4"/>
  <c r="S45" i="4" s="1"/>
  <c r="I45" i="4"/>
  <c r="K43" i="4"/>
  <c r="S43" i="4" s="1"/>
  <c r="I43" i="4"/>
  <c r="K66" i="4"/>
  <c r="R66" i="4" s="1"/>
  <c r="I66" i="4"/>
  <c r="K96" i="4"/>
  <c r="R96" i="4" s="1"/>
  <c r="I96" i="4"/>
  <c r="K9" i="4"/>
  <c r="S9" i="4" s="1"/>
  <c r="I9" i="4"/>
  <c r="K91" i="4"/>
  <c r="Q91" i="4" s="1"/>
  <c r="I91" i="4"/>
  <c r="K51" i="4"/>
  <c r="Q51" i="4" s="1"/>
  <c r="I51" i="4"/>
  <c r="K76" i="4"/>
  <c r="S76" i="4" s="1"/>
  <c r="I76" i="4"/>
  <c r="K79" i="4"/>
  <c r="R79" i="4" s="1"/>
  <c r="I79" i="4"/>
  <c r="K50" i="4"/>
  <c r="I50" i="4"/>
  <c r="K93" i="4"/>
  <c r="S93" i="4" s="1"/>
  <c r="I93" i="4"/>
  <c r="K30" i="4"/>
  <c r="Q30" i="4" s="1"/>
  <c r="I30" i="4"/>
  <c r="K24" i="4"/>
  <c r="Q24" i="4" s="1"/>
  <c r="I24" i="4"/>
  <c r="K38" i="4"/>
  <c r="S38" i="4" s="1"/>
  <c r="I38" i="4"/>
  <c r="K21" i="4"/>
  <c r="R21" i="4" s="1"/>
  <c r="I21" i="4"/>
  <c r="K83" i="4"/>
  <c r="R83" i="4" s="1"/>
  <c r="I83" i="4"/>
  <c r="K95" i="4"/>
  <c r="Q95" i="4" s="1"/>
  <c r="I95" i="4"/>
  <c r="K37" i="4"/>
  <c r="Q37" i="4" s="1"/>
  <c r="I37" i="4"/>
  <c r="K27" i="4"/>
  <c r="Q27" i="4" s="1"/>
  <c r="I27" i="4"/>
  <c r="K42" i="4"/>
  <c r="S42" i="4" s="1"/>
  <c r="I42" i="4"/>
  <c r="K78" i="4"/>
  <c r="R78" i="4" s="1"/>
  <c r="I78" i="4"/>
  <c r="K87" i="4"/>
  <c r="I87" i="4"/>
  <c r="K68" i="4"/>
  <c r="S68" i="4" s="1"/>
  <c r="I68" i="4"/>
  <c r="K81" i="4"/>
  <c r="S81" i="4" s="1"/>
  <c r="I81" i="4"/>
  <c r="K20" i="4"/>
  <c r="S20" i="4" s="1"/>
  <c r="I20" i="4"/>
  <c r="K53" i="4"/>
  <c r="S53" i="4" s="1"/>
  <c r="I53" i="4"/>
  <c r="K61" i="4"/>
  <c r="R61" i="4" s="1"/>
  <c r="I61" i="4"/>
  <c r="K40" i="4"/>
  <c r="Q40" i="4" s="1"/>
  <c r="I40" i="4"/>
  <c r="K67" i="4"/>
  <c r="S67" i="4" s="1"/>
  <c r="I67" i="4"/>
  <c r="K3" i="4"/>
  <c r="Q3" i="4" s="1"/>
  <c r="I3" i="4"/>
  <c r="K58" i="4"/>
  <c r="Q58" i="4" s="1"/>
  <c r="I58" i="4"/>
  <c r="K12" i="4"/>
  <c r="S12" i="4" s="1"/>
  <c r="I12" i="4"/>
  <c r="K52" i="4"/>
  <c r="R52" i="4" s="1"/>
  <c r="I52" i="4"/>
  <c r="K84" i="4"/>
  <c r="Q84" i="4" s="1"/>
  <c r="I84" i="4"/>
  <c r="K60" i="4"/>
  <c r="S60" i="4" s="1"/>
  <c r="I60" i="4"/>
  <c r="K56" i="4"/>
  <c r="R56" i="4" s="1"/>
  <c r="I56" i="4"/>
  <c r="K92" i="4"/>
  <c r="Q92" i="4" s="1"/>
  <c r="I92" i="4"/>
  <c r="K26" i="4"/>
  <c r="S26" i="4" s="1"/>
  <c r="I26" i="4"/>
  <c r="K49" i="4"/>
  <c r="R49" i="4" s="1"/>
  <c r="I49" i="4"/>
  <c r="K55" i="4"/>
  <c r="R55" i="4" s="1"/>
  <c r="I55" i="4"/>
  <c r="K80" i="4"/>
  <c r="Q80" i="4" s="1"/>
  <c r="I80" i="4"/>
  <c r="K41" i="4"/>
  <c r="S41" i="4" s="1"/>
  <c r="I41" i="4"/>
  <c r="K25" i="4"/>
  <c r="Q25" i="4" s="1"/>
  <c r="I25" i="4"/>
  <c r="K88" i="4"/>
  <c r="Q88" i="4" s="1"/>
  <c r="I88" i="4"/>
  <c r="K33" i="4"/>
  <c r="R33" i="4" s="1"/>
  <c r="I33" i="4"/>
  <c r="K19" i="4"/>
  <c r="R19" i="4" s="1"/>
  <c r="I19" i="4"/>
  <c r="K89" i="4"/>
  <c r="S89" i="4" s="1"/>
  <c r="I89" i="4"/>
  <c r="K69" i="4"/>
  <c r="S69" i="4" s="1"/>
  <c r="I69" i="4"/>
  <c r="K82" i="4"/>
  <c r="S82" i="4" s="1"/>
  <c r="I82" i="4"/>
  <c r="K18" i="4"/>
  <c r="Q18" i="4" s="1"/>
  <c r="I18" i="4"/>
  <c r="K65" i="4"/>
  <c r="R65" i="4" s="1"/>
  <c r="I65" i="4"/>
  <c r="K54" i="4"/>
  <c r="R54" i="4" s="1"/>
  <c r="I54" i="4"/>
  <c r="K48" i="4"/>
  <c r="Q48" i="4" s="1"/>
  <c r="I48" i="4"/>
  <c r="K99" i="4"/>
  <c r="S99" i="4" s="1"/>
  <c r="I99" i="4"/>
  <c r="K17" i="4"/>
  <c r="Q17" i="4" s="1"/>
  <c r="I17" i="4"/>
  <c r="K70" i="4"/>
  <c r="Q70" i="4" s="1"/>
  <c r="I70" i="4"/>
  <c r="K34" i="4"/>
  <c r="R34" i="4" s="1"/>
  <c r="I34" i="4"/>
  <c r="K8" i="4"/>
  <c r="S8" i="4" s="1"/>
  <c r="I8" i="4"/>
  <c r="K63" i="4"/>
  <c r="S63" i="4" s="1"/>
  <c r="I63" i="4"/>
  <c r="K14" i="4"/>
  <c r="S14" i="4" s="1"/>
  <c r="I14" i="4"/>
  <c r="K31" i="4"/>
  <c r="Q31" i="4" s="1"/>
  <c r="I31" i="4"/>
  <c r="K23" i="4"/>
  <c r="Q23" i="4" s="1"/>
  <c r="I23" i="4"/>
  <c r="K86" i="4"/>
  <c r="R86" i="4" s="1"/>
  <c r="I86" i="4"/>
  <c r="K7" i="4"/>
  <c r="R7" i="4" s="1"/>
  <c r="I7" i="4"/>
  <c r="K13" i="4"/>
  <c r="Q13" i="4" s="1"/>
  <c r="I13" i="4"/>
  <c r="K74" i="4"/>
  <c r="S74" i="4" s="1"/>
  <c r="I74" i="4"/>
  <c r="K28" i="4"/>
  <c r="Q28" i="4" s="1"/>
  <c r="I28" i="4"/>
  <c r="K62" i="4"/>
  <c r="Q62" i="4" s="1"/>
  <c r="I62" i="4"/>
  <c r="K98" i="4"/>
  <c r="R98" i="4" s="1"/>
  <c r="I98" i="4"/>
  <c r="K90" i="4"/>
  <c r="S90" i="4" s="1"/>
  <c r="I90" i="4"/>
  <c r="K75" i="4"/>
  <c r="S75" i="4" s="1"/>
  <c r="I75" i="4"/>
  <c r="K94" i="4"/>
  <c r="S94" i="4" s="1"/>
  <c r="I94" i="4"/>
  <c r="K47" i="4"/>
  <c r="S47" i="4" s="1"/>
  <c r="I47" i="4"/>
  <c r="K97" i="4"/>
  <c r="Q97" i="4" s="1"/>
  <c r="I97" i="4"/>
  <c r="K36" i="4"/>
  <c r="R36" i="4" s="1"/>
  <c r="I36" i="4"/>
  <c r="K4" i="4"/>
  <c r="R4" i="4" s="1"/>
  <c r="I4" i="4"/>
  <c r="K16" i="4"/>
  <c r="Q16" i="4" s="1"/>
  <c r="I16" i="4"/>
  <c r="K73" i="4"/>
  <c r="S73" i="4" s="1"/>
  <c r="I73" i="4"/>
  <c r="K15" i="4"/>
  <c r="Q15" i="4" s="1"/>
  <c r="I15" i="4"/>
  <c r="K85" i="4"/>
  <c r="Q85" i="4" s="1"/>
  <c r="I85" i="4"/>
  <c r="K46" i="4"/>
  <c r="R46" i="4" s="1"/>
  <c r="I46" i="4"/>
  <c r="K29" i="4"/>
  <c r="S29" i="4" s="1"/>
  <c r="I29" i="4"/>
  <c r="K5" i="4"/>
  <c r="S5" i="4" s="1"/>
  <c r="I5" i="4"/>
  <c r="K22" i="4"/>
  <c r="S22" i="4" s="1"/>
  <c r="I22" i="4"/>
  <c r="K71" i="4"/>
  <c r="Q71" i="4" s="1"/>
  <c r="I71" i="4"/>
  <c r="K77" i="4"/>
  <c r="Q77" i="4" s="1"/>
  <c r="I77" i="4"/>
  <c r="K11" i="4"/>
  <c r="R11" i="4" s="1"/>
  <c r="I11" i="4"/>
  <c r="K39" i="4"/>
  <c r="S39" i="4" s="1"/>
  <c r="I39" i="4"/>
  <c r="K10" i="4"/>
  <c r="Q10" i="4" s="1"/>
  <c r="I10" i="4"/>
  <c r="K100" i="4"/>
  <c r="S100" i="4" s="1"/>
  <c r="I100" i="4"/>
  <c r="K6" i="4"/>
  <c r="Q6" i="4" s="1"/>
  <c r="I6" i="4"/>
  <c r="K35" i="4"/>
  <c r="Q35" i="4" s="1"/>
  <c r="I35" i="4"/>
  <c r="K72" i="4"/>
  <c r="R72" i="4" s="1"/>
  <c r="I72" i="4"/>
  <c r="P29" i="3"/>
  <c r="O29" i="3"/>
  <c r="M29" i="3"/>
  <c r="L29" i="3"/>
  <c r="J29" i="3"/>
  <c r="H29" i="3"/>
  <c r="G29" i="3"/>
  <c r="D29" i="3"/>
  <c r="K5" i="3"/>
  <c r="S5" i="3" s="1"/>
  <c r="I5" i="3"/>
  <c r="K4" i="3"/>
  <c r="S4" i="3" s="1"/>
  <c r="I4" i="3"/>
  <c r="K6" i="3"/>
  <c r="S6" i="3" s="1"/>
  <c r="I6" i="3"/>
  <c r="I67" i="2"/>
  <c r="K67" i="2"/>
  <c r="S67" i="2" s="1"/>
  <c r="I88" i="2"/>
  <c r="K88" i="2"/>
  <c r="I73" i="2"/>
  <c r="K73" i="2"/>
  <c r="Q73" i="2" s="1"/>
  <c r="I33" i="2"/>
  <c r="K33" i="2"/>
  <c r="R33" i="2" s="1"/>
  <c r="I53" i="2"/>
  <c r="K53" i="2"/>
  <c r="Q53" i="2" s="1"/>
  <c r="I131" i="2"/>
  <c r="K131" i="2"/>
  <c r="R131" i="2" s="1"/>
  <c r="I118" i="2"/>
  <c r="K118" i="2"/>
  <c r="Q118" i="2" s="1"/>
  <c r="I63" i="2"/>
  <c r="K63" i="2"/>
  <c r="S63" i="2" s="1"/>
  <c r="I113" i="2"/>
  <c r="K113" i="2"/>
  <c r="Q113" i="2" s="1"/>
  <c r="I96" i="2"/>
  <c r="K96" i="2"/>
  <c r="R96" i="2" s="1"/>
  <c r="I29" i="2"/>
  <c r="K29" i="2"/>
  <c r="I34" i="2"/>
  <c r="K34" i="2"/>
  <c r="R34" i="2" s="1"/>
  <c r="I77" i="2"/>
  <c r="K77" i="2"/>
  <c r="S77" i="2" s="1"/>
  <c r="I108" i="2"/>
  <c r="K108" i="2"/>
  <c r="S108" i="2" s="1"/>
  <c r="I84" i="2"/>
  <c r="K84" i="2"/>
  <c r="Q84" i="2" s="1"/>
  <c r="I39" i="2"/>
  <c r="K39" i="2"/>
  <c r="R39" i="2" s="1"/>
  <c r="I106" i="2"/>
  <c r="K106" i="2"/>
  <c r="Q106" i="2" s="1"/>
  <c r="I56" i="2"/>
  <c r="K56" i="2"/>
  <c r="R56" i="2" s="1"/>
  <c r="I60" i="2"/>
  <c r="K60" i="2"/>
  <c r="I116" i="2"/>
  <c r="K116" i="2"/>
  <c r="Q116" i="2" s="1"/>
  <c r="I127" i="2"/>
  <c r="K127" i="2"/>
  <c r="R127" i="2" s="1"/>
  <c r="I134" i="2"/>
  <c r="K134" i="2"/>
  <c r="Q134" i="2" s="1"/>
  <c r="I31" i="2"/>
  <c r="K31" i="2"/>
  <c r="I115" i="2"/>
  <c r="K115" i="2"/>
  <c r="R115" i="2" s="1"/>
  <c r="I119" i="2"/>
  <c r="K119" i="2"/>
  <c r="S119" i="2" s="1"/>
  <c r="I92" i="2"/>
  <c r="K92" i="2"/>
  <c r="S92" i="2" s="1"/>
  <c r="I103" i="2"/>
  <c r="K103" i="2"/>
  <c r="Q103" i="2" s="1"/>
  <c r="I93" i="2"/>
  <c r="K93" i="2"/>
  <c r="Q93" i="2" s="1"/>
  <c r="I38" i="2"/>
  <c r="K38" i="2"/>
  <c r="Q38" i="2" s="1"/>
  <c r="I45" i="2"/>
  <c r="K45" i="2"/>
  <c r="Q45" i="2" s="1"/>
  <c r="I35" i="2"/>
  <c r="K35" i="2"/>
  <c r="Q35" i="2" s="1"/>
  <c r="I100" i="2"/>
  <c r="K100" i="2"/>
  <c r="R100" i="2" s="1"/>
  <c r="I125" i="2"/>
  <c r="K125" i="2"/>
  <c r="S125" i="2" s="1"/>
  <c r="I135" i="2"/>
  <c r="K135" i="2"/>
  <c r="I47" i="2"/>
  <c r="K47" i="2"/>
  <c r="R47" i="2" s="1"/>
  <c r="I37" i="2"/>
  <c r="K37" i="2"/>
  <c r="S37" i="2" s="1"/>
  <c r="I83" i="2"/>
  <c r="K83" i="2"/>
  <c r="I55" i="2"/>
  <c r="K55" i="2"/>
  <c r="R55" i="2" s="1"/>
  <c r="I121" i="2"/>
  <c r="K121" i="2"/>
  <c r="Q121" i="2" s="1"/>
  <c r="I101" i="2"/>
  <c r="K101" i="2"/>
  <c r="R101" i="2" s="1"/>
  <c r="I122" i="2"/>
  <c r="K122" i="2"/>
  <c r="Q122" i="2" s="1"/>
  <c r="I94" i="2"/>
  <c r="K94" i="2"/>
  <c r="Q94" i="2" s="1"/>
  <c r="I109" i="2"/>
  <c r="K109" i="2"/>
  <c r="Q109" i="2" s="1"/>
  <c r="I64" i="2"/>
  <c r="K64" i="2"/>
  <c r="I66" i="2"/>
  <c r="K66" i="2"/>
  <c r="R66" i="2" s="1"/>
  <c r="I124" i="2"/>
  <c r="K124" i="2"/>
  <c r="S124" i="2" s="1"/>
  <c r="I81" i="2"/>
  <c r="K81" i="2"/>
  <c r="Q81" i="2" s="1"/>
  <c r="I79" i="2"/>
  <c r="K79" i="2"/>
  <c r="Q79" i="2" s="1"/>
  <c r="I117" i="2"/>
  <c r="K117" i="2"/>
  <c r="Q117" i="2" s="1"/>
  <c r="I49" i="2"/>
  <c r="K49" i="2"/>
  <c r="R49" i="2" s="1"/>
  <c r="I44" i="2"/>
  <c r="K44" i="2"/>
  <c r="Q44" i="2" s="1"/>
  <c r="I74" i="2"/>
  <c r="K74" i="2"/>
  <c r="Q74" i="2" s="1"/>
  <c r="I105" i="2"/>
  <c r="K105" i="2"/>
  <c r="Q105" i="2" s="1"/>
  <c r="I91" i="2"/>
  <c r="K91" i="2"/>
  <c r="R91" i="2" s="1"/>
  <c r="I78" i="2"/>
  <c r="K78" i="2"/>
  <c r="I89" i="2"/>
  <c r="K89" i="2"/>
  <c r="R89" i="2" s="1"/>
  <c r="I43" i="2"/>
  <c r="K43" i="2"/>
  <c r="S43" i="2" s="1"/>
  <c r="I48" i="2"/>
  <c r="K48" i="2"/>
  <c r="S48" i="2" s="1"/>
  <c r="I136" i="2"/>
  <c r="K136" i="2"/>
  <c r="Q136" i="2" s="1"/>
  <c r="I112" i="2"/>
  <c r="K112" i="2"/>
  <c r="Q112" i="2" s="1"/>
  <c r="I138" i="2"/>
  <c r="K138" i="2"/>
  <c r="Q138" i="2" s="1"/>
  <c r="I110" i="2"/>
  <c r="K110" i="2"/>
  <c r="R110" i="2" s="1"/>
  <c r="I69" i="2"/>
  <c r="K69" i="2"/>
  <c r="Q69" i="2" s="1"/>
  <c r="I132" i="2"/>
  <c r="K132" i="2"/>
  <c r="R132" i="2" s="1"/>
  <c r="I133" i="2"/>
  <c r="K133" i="2"/>
  <c r="R133" i="2" s="1"/>
  <c r="I137" i="2"/>
  <c r="K137" i="2"/>
  <c r="S137" i="2" s="1"/>
  <c r="I128" i="2"/>
  <c r="K128" i="2"/>
  <c r="I129" i="2"/>
  <c r="K129" i="2"/>
  <c r="R129" i="2" s="1"/>
  <c r="I126" i="2"/>
  <c r="K126" i="2"/>
  <c r="S126" i="2" s="1"/>
  <c r="I80" i="2"/>
  <c r="K80" i="2"/>
  <c r="I51" i="2"/>
  <c r="K51" i="2"/>
  <c r="Q51" i="2" s="1"/>
  <c r="I104" i="2"/>
  <c r="K104" i="2"/>
  <c r="Q104" i="2" s="1"/>
  <c r="I102" i="2"/>
  <c r="K102" i="2"/>
  <c r="Q102" i="2" s="1"/>
  <c r="I65" i="2"/>
  <c r="K65" i="2"/>
  <c r="R65" i="2" s="1"/>
  <c r="I123" i="2"/>
  <c r="K123" i="2"/>
  <c r="Q123" i="2" s="1"/>
  <c r="I75" i="2"/>
  <c r="K75" i="2"/>
  <c r="S75" i="2" s="1"/>
  <c r="I57" i="2"/>
  <c r="K57" i="2"/>
  <c r="Q57" i="2" s="1"/>
  <c r="I95" i="2"/>
  <c r="K95" i="2"/>
  <c r="R95" i="2" s="1"/>
  <c r="I72" i="2"/>
  <c r="K72" i="2"/>
  <c r="I41" i="2"/>
  <c r="K41" i="2"/>
  <c r="R41" i="2" s="1"/>
  <c r="I50" i="2"/>
  <c r="K50" i="2"/>
  <c r="S50" i="2" s="1"/>
  <c r="I97" i="2"/>
  <c r="K97" i="2"/>
  <c r="S97" i="2" s="1"/>
  <c r="I114" i="2"/>
  <c r="K114" i="2"/>
  <c r="Q114" i="2" s="1"/>
  <c r="I68" i="2"/>
  <c r="K68" i="2"/>
  <c r="Q68" i="2" s="1"/>
  <c r="I87" i="2"/>
  <c r="K87" i="2"/>
  <c r="Q87" i="2" s="1"/>
  <c r="I36" i="2"/>
  <c r="K36" i="2"/>
  <c r="R36" i="2" s="1"/>
  <c r="I40" i="2"/>
  <c r="K40" i="2"/>
  <c r="I76" i="2"/>
  <c r="K76" i="2"/>
  <c r="R76" i="2" s="1"/>
  <c r="I98" i="2"/>
  <c r="K98" i="2"/>
  <c r="S98" i="2" s="1"/>
  <c r="I70" i="2"/>
  <c r="K70" i="2"/>
  <c r="Q70" i="2" s="1"/>
  <c r="I52" i="2"/>
  <c r="K52" i="2"/>
  <c r="I71" i="2"/>
  <c r="K71" i="2"/>
  <c r="R71" i="2" s="1"/>
  <c r="I42" i="2"/>
  <c r="K42" i="2"/>
  <c r="S42" i="2" s="1"/>
  <c r="I32" i="2"/>
  <c r="K32" i="2"/>
  <c r="S32" i="2" s="1"/>
  <c r="I99" i="2"/>
  <c r="K99" i="2"/>
  <c r="Q99" i="2" s="1"/>
  <c r="I86" i="2"/>
  <c r="K86" i="2"/>
  <c r="R86" i="2" s="1"/>
  <c r="I120" i="2"/>
  <c r="K120" i="2"/>
  <c r="Q120" i="2" s="1"/>
  <c r="I54" i="2"/>
  <c r="K54" i="2"/>
  <c r="R54" i="2" s="1"/>
  <c r="I28" i="2"/>
  <c r="K28" i="2"/>
  <c r="Q28" i="2" s="1"/>
  <c r="I30" i="2"/>
  <c r="K30" i="2"/>
  <c r="Q30" i="2" s="1"/>
  <c r="I111" i="2"/>
  <c r="K111" i="2"/>
  <c r="Q111" i="2" s="1"/>
  <c r="I27" i="2"/>
  <c r="K27" i="2"/>
  <c r="Q27" i="2" s="1"/>
  <c r="I46" i="2"/>
  <c r="K46" i="2"/>
  <c r="I59" i="2"/>
  <c r="K59" i="2"/>
  <c r="R59" i="2" s="1"/>
  <c r="I153" i="2"/>
  <c r="K153" i="2"/>
  <c r="S153" i="2" s="1"/>
  <c r="I162" i="2"/>
  <c r="K162" i="2"/>
  <c r="I13" i="2"/>
  <c r="K13" i="2"/>
  <c r="Q13" i="2" s="1"/>
  <c r="I19" i="2"/>
  <c r="K19" i="2"/>
  <c r="Q19" i="2" s="1"/>
  <c r="I187" i="2"/>
  <c r="K187" i="2"/>
  <c r="R187" i="2" s="1"/>
  <c r="I168" i="2"/>
  <c r="K168" i="2"/>
  <c r="Q168" i="2" s="1"/>
  <c r="I155" i="2"/>
  <c r="K155" i="2"/>
  <c r="Q155" i="2" s="1"/>
  <c r="I146" i="2"/>
  <c r="K146" i="2"/>
  <c r="Q146" i="2" s="1"/>
  <c r="I198" i="2"/>
  <c r="K198" i="2"/>
  <c r="I183" i="2"/>
  <c r="K183" i="2"/>
  <c r="R183" i="2" s="1"/>
  <c r="I176" i="2"/>
  <c r="K176" i="2"/>
  <c r="S176" i="2" s="1"/>
  <c r="I154" i="2"/>
  <c r="K154" i="2"/>
  <c r="S154" i="2" s="1"/>
  <c r="I141" i="2"/>
  <c r="K141" i="2"/>
  <c r="Q141" i="2" s="1"/>
  <c r="I5" i="2"/>
  <c r="K5" i="2"/>
  <c r="Q5" i="2" s="1"/>
  <c r="I17" i="2"/>
  <c r="K17" i="2"/>
  <c r="R17" i="2" s="1"/>
  <c r="I11" i="2"/>
  <c r="K11" i="2"/>
  <c r="Q11" i="2" s="1"/>
  <c r="I2" i="2"/>
  <c r="K2" i="2"/>
  <c r="Q2" i="2" s="1"/>
  <c r="I21" i="2"/>
  <c r="K21" i="2"/>
  <c r="Q21" i="2" s="1"/>
  <c r="I6" i="2"/>
  <c r="K6" i="2"/>
  <c r="Q6" i="2" s="1"/>
  <c r="I18" i="2"/>
  <c r="K18" i="2"/>
  <c r="I20" i="2"/>
  <c r="K20" i="2"/>
  <c r="R20" i="2" s="1"/>
  <c r="I14" i="2"/>
  <c r="K14" i="2"/>
  <c r="S14" i="2" s="1"/>
  <c r="I12" i="2"/>
  <c r="K12" i="2"/>
  <c r="Q12" i="2" s="1"/>
  <c r="I16" i="2"/>
  <c r="K16" i="2"/>
  <c r="Q16" i="2" s="1"/>
  <c r="I15" i="2"/>
  <c r="K15" i="2"/>
  <c r="Q15" i="2" s="1"/>
  <c r="I10" i="2"/>
  <c r="K10" i="2"/>
  <c r="R10" i="2" s="1"/>
  <c r="I23" i="2"/>
  <c r="K23" i="2"/>
  <c r="Q23" i="2" s="1"/>
  <c r="I25" i="2"/>
  <c r="K25" i="2"/>
  <c r="R25" i="2" s="1"/>
  <c r="I24" i="2"/>
  <c r="K24" i="2"/>
  <c r="Q24" i="2" s="1"/>
  <c r="I22" i="2"/>
  <c r="K22" i="2"/>
  <c r="R22" i="2" s="1"/>
  <c r="I7" i="2"/>
  <c r="K7" i="2"/>
  <c r="I212" i="2"/>
  <c r="K212" i="2"/>
  <c r="I208" i="2"/>
  <c r="K208" i="2"/>
  <c r="Q208" i="2" s="1"/>
  <c r="I207" i="2"/>
  <c r="K207" i="2"/>
  <c r="R207" i="2" s="1"/>
  <c r="I160" i="2"/>
  <c r="K160" i="2"/>
  <c r="Q160" i="2" s="1"/>
  <c r="I169" i="2"/>
  <c r="K169" i="2"/>
  <c r="R169" i="2" s="1"/>
  <c r="I209" i="2"/>
  <c r="K209" i="2"/>
  <c r="Q209" i="2" s="1"/>
  <c r="I148" i="2"/>
  <c r="K148" i="2"/>
  <c r="S148" i="2" s="1"/>
  <c r="I193" i="2"/>
  <c r="K193" i="2"/>
  <c r="Q193" i="2" s="1"/>
  <c r="I180" i="2"/>
  <c r="K180" i="2"/>
  <c r="I190" i="2"/>
  <c r="K190" i="2"/>
  <c r="R190" i="2" s="1"/>
  <c r="I167" i="2"/>
  <c r="K167" i="2"/>
  <c r="S167" i="2" s="1"/>
  <c r="I171" i="2"/>
  <c r="K171" i="2"/>
  <c r="S171" i="2" s="1"/>
  <c r="I150" i="2"/>
  <c r="K150" i="2"/>
  <c r="Q150" i="2" s="1"/>
  <c r="I149" i="2"/>
  <c r="K149" i="2"/>
  <c r="R149" i="2" s="1"/>
  <c r="I199" i="2"/>
  <c r="K199" i="2"/>
  <c r="Q199" i="2" s="1"/>
  <c r="I177" i="2"/>
  <c r="K177" i="2"/>
  <c r="R177" i="2" s="1"/>
  <c r="I186" i="2"/>
  <c r="K186" i="2"/>
  <c r="I194" i="2"/>
  <c r="K194" i="2"/>
  <c r="Q194" i="2" s="1"/>
  <c r="S194" i="2"/>
  <c r="I163" i="2"/>
  <c r="K163" i="2"/>
  <c r="Q163" i="2" s="1"/>
  <c r="I179" i="2"/>
  <c r="K179" i="2"/>
  <c r="I156" i="2"/>
  <c r="K156" i="2"/>
  <c r="R156" i="2" s="1"/>
  <c r="I201" i="2"/>
  <c r="K201" i="2"/>
  <c r="S201" i="2" s="1"/>
  <c r="I165" i="2"/>
  <c r="K165" i="2"/>
  <c r="Q165" i="2" s="1"/>
  <c r="I181" i="2"/>
  <c r="K181" i="2"/>
  <c r="S181" i="2" s="1"/>
  <c r="I178" i="2"/>
  <c r="K178" i="2"/>
  <c r="Q178" i="2" s="1"/>
  <c r="I197" i="2"/>
  <c r="K197" i="2"/>
  <c r="S197" i="2" s="1"/>
  <c r="I200" i="2"/>
  <c r="K200" i="2"/>
  <c r="Q200" i="2" s="1"/>
  <c r="I189" i="2"/>
  <c r="K189" i="2"/>
  <c r="R189" i="2" s="1"/>
  <c r="I196" i="2"/>
  <c r="K196" i="2"/>
  <c r="S196" i="2" s="1"/>
  <c r="I204" i="2"/>
  <c r="K204" i="2"/>
  <c r="Q204" i="2" s="1"/>
  <c r="I139" i="2"/>
  <c r="K139" i="2"/>
  <c r="R139" i="2" s="1"/>
  <c r="I61" i="2"/>
  <c r="K61" i="2"/>
  <c r="S61" i="2" s="1"/>
  <c r="I58" i="2"/>
  <c r="K58" i="2"/>
  <c r="R58" i="2" s="1"/>
  <c r="I85" i="2"/>
  <c r="K85" i="2"/>
  <c r="Q85" i="2" s="1"/>
  <c r="I151" i="2"/>
  <c r="K151" i="2"/>
  <c r="Q151" i="2" s="1"/>
  <c r="I210" i="2"/>
  <c r="K210" i="2"/>
  <c r="Q210" i="2" s="1"/>
  <c r="I184" i="2"/>
  <c r="K184" i="2"/>
  <c r="R184" i="2" s="1"/>
  <c r="I170" i="2"/>
  <c r="K170" i="2"/>
  <c r="S170" i="2" s="1"/>
  <c r="I205" i="2"/>
  <c r="K205" i="2"/>
  <c r="R205" i="2" s="1"/>
  <c r="I206" i="2"/>
  <c r="K206" i="2"/>
  <c r="S206" i="2" s="1"/>
  <c r="R206" i="2"/>
  <c r="I62" i="2"/>
  <c r="K62" i="2"/>
  <c r="Q62" i="2" s="1"/>
  <c r="I82" i="2"/>
  <c r="K82" i="2"/>
  <c r="Q82" i="2" s="1"/>
  <c r="I107" i="2"/>
  <c r="K107" i="2"/>
  <c r="R107" i="2" s="1"/>
  <c r="I130" i="2"/>
  <c r="K130" i="2"/>
  <c r="R130" i="2" s="1"/>
  <c r="I90" i="2"/>
  <c r="K90" i="2"/>
  <c r="Q90" i="2" s="1"/>
  <c r="I4" i="2"/>
  <c r="K4" i="2"/>
  <c r="Q4" i="2" s="1"/>
  <c r="I26" i="2"/>
  <c r="K26" i="2"/>
  <c r="Q26" i="2" s="1"/>
  <c r="I3" i="2"/>
  <c r="K3" i="2"/>
  <c r="R3" i="2" s="1"/>
  <c r="I147" i="2"/>
  <c r="K147" i="2"/>
  <c r="S147" i="2" s="1"/>
  <c r="I157" i="2"/>
  <c r="K157" i="2"/>
  <c r="R157" i="2" s="1"/>
  <c r="I142" i="2"/>
  <c r="K142" i="2"/>
  <c r="S142" i="2" s="1"/>
  <c r="I140" i="2"/>
  <c r="K140" i="2"/>
  <c r="S140" i="2" s="1"/>
  <c r="I211" i="2"/>
  <c r="K211" i="2"/>
  <c r="Q211" i="2" s="1"/>
  <c r="I195" i="2"/>
  <c r="K195" i="2"/>
  <c r="R195" i="2" s="1"/>
  <c r="I172" i="2"/>
  <c r="K172" i="2"/>
  <c r="S172" i="2" s="1"/>
  <c r="I173" i="2"/>
  <c r="K173" i="2"/>
  <c r="Q173" i="2" s="1"/>
  <c r="I166" i="2"/>
  <c r="K166" i="2"/>
  <c r="Q166" i="2" s="1"/>
  <c r="I164" i="2"/>
  <c r="K164" i="2"/>
  <c r="S164" i="2" s="1"/>
  <c r="I9" i="2"/>
  <c r="K9" i="2"/>
  <c r="Q9" i="2" s="1"/>
  <c r="I246" i="2"/>
  <c r="K246" i="2"/>
  <c r="R246" i="2" s="1"/>
  <c r="I245" i="2"/>
  <c r="K245" i="2"/>
  <c r="S245" i="2" s="1"/>
  <c r="I222" i="2"/>
  <c r="K222" i="2"/>
  <c r="R222" i="2" s="1"/>
  <c r="I228" i="2"/>
  <c r="K228" i="2"/>
  <c r="S228" i="2" s="1"/>
  <c r="I234" i="2"/>
  <c r="K234" i="2"/>
  <c r="Q234" i="2" s="1"/>
  <c r="I232" i="2"/>
  <c r="K232" i="2"/>
  <c r="Q232" i="2" s="1"/>
  <c r="I220" i="2"/>
  <c r="K220" i="2"/>
  <c r="R220" i="2" s="1"/>
  <c r="I235" i="2"/>
  <c r="K235" i="2"/>
  <c r="S235" i="2" s="1"/>
  <c r="I233" i="2"/>
  <c r="K233" i="2"/>
  <c r="R233" i="2" s="1"/>
  <c r="I221" i="2"/>
  <c r="K221" i="2"/>
  <c r="Q221" i="2" s="1"/>
  <c r="I218" i="2"/>
  <c r="K218" i="2"/>
  <c r="Q218" i="2" s="1"/>
  <c r="I215" i="2"/>
  <c r="K215" i="2"/>
  <c r="Q215" i="2" s="1"/>
  <c r="I237" i="2"/>
  <c r="K237" i="2"/>
  <c r="R237" i="2" s="1"/>
  <c r="I229" i="2"/>
  <c r="K229" i="2"/>
  <c r="Q229" i="2" s="1"/>
  <c r="I224" i="2"/>
  <c r="K224" i="2"/>
  <c r="Q224" i="2" s="1"/>
  <c r="I216" i="2"/>
  <c r="K216" i="2"/>
  <c r="R216" i="2" s="1"/>
  <c r="I231" i="2"/>
  <c r="K231" i="2"/>
  <c r="S231" i="2" s="1"/>
  <c r="I230" i="2"/>
  <c r="K230" i="2"/>
  <c r="R230" i="2" s="1"/>
  <c r="I214" i="2"/>
  <c r="K214" i="2"/>
  <c r="Q214" i="2" s="1"/>
  <c r="I217" i="2"/>
  <c r="K217" i="2"/>
  <c r="R217" i="2" s="1"/>
  <c r="I247" i="2"/>
  <c r="K247" i="2"/>
  <c r="S247" i="2" s="1"/>
  <c r="I244" i="2"/>
  <c r="K244" i="2"/>
  <c r="Q244" i="2" s="1"/>
  <c r="I243" i="2"/>
  <c r="K243" i="2"/>
  <c r="Q243" i="2" s="1"/>
  <c r="I248" i="2"/>
  <c r="K248" i="2"/>
  <c r="Q248" i="2" s="1"/>
  <c r="I242" i="2"/>
  <c r="K242" i="2"/>
  <c r="Q242" i="2" s="1"/>
  <c r="I240" i="2"/>
  <c r="K240" i="2"/>
  <c r="R240" i="2" s="1"/>
  <c r="I239" i="2"/>
  <c r="K239" i="2"/>
  <c r="S239" i="2" s="1"/>
  <c r="I213" i="2"/>
  <c r="K213" i="2"/>
  <c r="S213" i="2" s="1"/>
  <c r="I225" i="2"/>
  <c r="K225" i="2"/>
  <c r="Q225" i="2" s="1"/>
  <c r="I223" i="2"/>
  <c r="K223" i="2"/>
  <c r="Q223" i="2" s="1"/>
  <c r="I238" i="2"/>
  <c r="K238" i="2"/>
  <c r="Q238" i="2" s="1"/>
  <c r="I227" i="2"/>
  <c r="K227" i="2"/>
  <c r="R227" i="2" s="1"/>
  <c r="I241" i="2"/>
  <c r="K241" i="2"/>
  <c r="S241" i="2" s="1"/>
  <c r="I236" i="2"/>
  <c r="K236" i="2"/>
  <c r="Q236" i="2" s="1"/>
  <c r="I219" i="2"/>
  <c r="K219" i="2"/>
  <c r="Q219" i="2" s="1"/>
  <c r="I226" i="2"/>
  <c r="K226" i="2"/>
  <c r="Q226" i="2" s="1"/>
  <c r="I152" i="2"/>
  <c r="K152" i="2"/>
  <c r="R152" i="2" s="1"/>
  <c r="I143" i="2"/>
  <c r="K143" i="2"/>
  <c r="S143" i="2" s="1"/>
  <c r="I159" i="2"/>
  <c r="K159" i="2"/>
  <c r="R159" i="2" s="1"/>
  <c r="I161" i="2"/>
  <c r="K161" i="2"/>
  <c r="S161" i="2" s="1"/>
  <c r="I144" i="2"/>
  <c r="K144" i="2"/>
  <c r="Q144" i="2" s="1"/>
  <c r="I188" i="2"/>
  <c r="K188" i="2"/>
  <c r="Q188" i="2" s="1"/>
  <c r="I202" i="2"/>
  <c r="K202" i="2"/>
  <c r="R202" i="2" s="1"/>
  <c r="I182" i="2"/>
  <c r="K182" i="2"/>
  <c r="S182" i="2" s="1"/>
  <c r="I185" i="2"/>
  <c r="K185" i="2"/>
  <c r="S185" i="2" s="1"/>
  <c r="I191" i="2"/>
  <c r="K191" i="2"/>
  <c r="R191" i="2" s="1"/>
  <c r="I174" i="2"/>
  <c r="K174" i="2"/>
  <c r="Q174" i="2" s="1"/>
  <c r="I175" i="2"/>
  <c r="K175" i="2"/>
  <c r="Q175" i="2" s="1"/>
  <c r="I158" i="2"/>
  <c r="K158" i="2"/>
  <c r="R158" i="2" s="1"/>
  <c r="I203" i="2"/>
  <c r="K203" i="2"/>
  <c r="S203" i="2" s="1"/>
  <c r="I145" i="2"/>
  <c r="K145" i="2"/>
  <c r="R145" i="2" s="1"/>
  <c r="I192" i="2"/>
  <c r="K192" i="2"/>
  <c r="Q192" i="2" s="1"/>
  <c r="I8" i="2"/>
  <c r="K8" i="2"/>
  <c r="Q8" i="2" s="1"/>
  <c r="D249" i="2"/>
  <c r="G249" i="2"/>
  <c r="H249" i="2"/>
  <c r="J249" i="2"/>
  <c r="L249" i="2"/>
  <c r="M249" i="2"/>
  <c r="O249" i="2"/>
  <c r="P249" i="2"/>
  <c r="S86" i="4" l="1"/>
  <c r="S33" i="4"/>
  <c r="Q79" i="4"/>
  <c r="S79" i="4"/>
  <c r="S16" i="4"/>
  <c r="S24" i="4"/>
  <c r="R13" i="4"/>
  <c r="S72" i="4"/>
  <c r="R51" i="4"/>
  <c r="Q86" i="4"/>
  <c r="S92" i="4"/>
  <c r="R53" i="4"/>
  <c r="I103" i="4"/>
  <c r="S34" i="4"/>
  <c r="S80" i="4"/>
  <c r="Q33" i="4"/>
  <c r="Q46" i="4"/>
  <c r="R67" i="4"/>
  <c r="S46" i="4"/>
  <c r="S13" i="4"/>
  <c r="S51" i="4"/>
  <c r="S36" i="4"/>
  <c r="S25" i="4"/>
  <c r="S15" i="4"/>
  <c r="R92" i="4"/>
  <c r="S78" i="4"/>
  <c r="S32" i="7"/>
  <c r="P32" i="7"/>
  <c r="M32" i="7"/>
  <c r="Q13" i="7"/>
  <c r="R9" i="7"/>
  <c r="S168" i="6"/>
  <c r="P168" i="6"/>
  <c r="M168" i="6"/>
  <c r="Q119" i="6"/>
  <c r="I123" i="6"/>
  <c r="I122" i="6"/>
  <c r="K121" i="6"/>
  <c r="Q118" i="6"/>
  <c r="R118" i="6"/>
  <c r="Q120" i="6"/>
  <c r="R120" i="6"/>
  <c r="R119" i="6"/>
  <c r="I146" i="6"/>
  <c r="S175" i="6"/>
  <c r="S202" i="6"/>
  <c r="I192" i="6"/>
  <c r="S199" i="6"/>
  <c r="I211" i="6"/>
  <c r="R175" i="6"/>
  <c r="S198" i="6"/>
  <c r="S208" i="6"/>
  <c r="S185" i="6"/>
  <c r="I78" i="6"/>
  <c r="I177" i="6"/>
  <c r="R201" i="6"/>
  <c r="I219" i="6"/>
  <c r="S132" i="6"/>
  <c r="R152" i="6"/>
  <c r="R202" i="6"/>
  <c r="Q185" i="6"/>
  <c r="R208" i="6"/>
  <c r="Q201" i="6"/>
  <c r="I100" i="6"/>
  <c r="I156" i="6"/>
  <c r="Q200" i="6"/>
  <c r="S200" i="6"/>
  <c r="I220" i="6"/>
  <c r="S187" i="6"/>
  <c r="R207" i="6"/>
  <c r="Q198" i="6"/>
  <c r="Q152" i="6"/>
  <c r="S207" i="6"/>
  <c r="Q174" i="6"/>
  <c r="R217" i="6"/>
  <c r="R174" i="6"/>
  <c r="S217" i="6"/>
  <c r="R136" i="6"/>
  <c r="S142" i="6"/>
  <c r="R139" i="6"/>
  <c r="R154" i="6"/>
  <c r="S203" i="6"/>
  <c r="R203" i="6"/>
  <c r="Q203" i="6"/>
  <c r="S154" i="6"/>
  <c r="I157" i="6"/>
  <c r="I193" i="6"/>
  <c r="I178" i="6"/>
  <c r="K176" i="6"/>
  <c r="K218" i="6"/>
  <c r="Q153" i="6"/>
  <c r="S189" i="6"/>
  <c r="R189" i="6"/>
  <c r="Q189" i="6"/>
  <c r="I212" i="6"/>
  <c r="Q128" i="6"/>
  <c r="S153" i="6"/>
  <c r="S190" i="6"/>
  <c r="R187" i="6"/>
  <c r="R199" i="6"/>
  <c r="K210" i="6"/>
  <c r="Q186" i="6"/>
  <c r="Q204" i="6"/>
  <c r="R186" i="6"/>
  <c r="K191" i="6"/>
  <c r="Q206" i="6"/>
  <c r="R204" i="6"/>
  <c r="R206" i="6"/>
  <c r="Q188" i="6"/>
  <c r="Q205" i="6"/>
  <c r="Q190" i="6"/>
  <c r="R188" i="6"/>
  <c r="R205" i="6"/>
  <c r="S139" i="6"/>
  <c r="Q129" i="6"/>
  <c r="S128" i="6"/>
  <c r="K155" i="6"/>
  <c r="R129" i="6"/>
  <c r="Q109" i="6"/>
  <c r="Q141" i="6"/>
  <c r="I147" i="6"/>
  <c r="S141" i="6"/>
  <c r="Q106" i="6"/>
  <c r="Q136" i="6"/>
  <c r="S106" i="6"/>
  <c r="Q135" i="6"/>
  <c r="Q131" i="6"/>
  <c r="R131" i="6"/>
  <c r="Q132" i="6"/>
  <c r="I113" i="6"/>
  <c r="Q144" i="6"/>
  <c r="R135" i="6"/>
  <c r="Q137" i="6"/>
  <c r="K145" i="6"/>
  <c r="R144" i="6"/>
  <c r="Q130" i="6"/>
  <c r="R137" i="6"/>
  <c r="Q143" i="6"/>
  <c r="Q133" i="6"/>
  <c r="R130" i="6"/>
  <c r="Q140" i="6"/>
  <c r="R143" i="6"/>
  <c r="R133" i="6"/>
  <c r="R140" i="6"/>
  <c r="Q142" i="6"/>
  <c r="R109" i="6"/>
  <c r="Q138" i="6"/>
  <c r="Q134" i="6"/>
  <c r="R138" i="6"/>
  <c r="R134" i="6"/>
  <c r="I112" i="6"/>
  <c r="S107" i="6"/>
  <c r="K111" i="6"/>
  <c r="I87" i="6"/>
  <c r="Q85" i="6"/>
  <c r="Q93" i="6"/>
  <c r="R85" i="6"/>
  <c r="S96" i="6"/>
  <c r="Q110" i="6"/>
  <c r="R110" i="6"/>
  <c r="Q108" i="6"/>
  <c r="I101" i="6"/>
  <c r="S97" i="6"/>
  <c r="R108" i="6"/>
  <c r="Q107" i="6"/>
  <c r="S94" i="6"/>
  <c r="R97" i="6"/>
  <c r="K99" i="6"/>
  <c r="I88" i="6"/>
  <c r="Q95" i="6"/>
  <c r="R95" i="6"/>
  <c r="Q98" i="6"/>
  <c r="R84" i="6"/>
  <c r="R98" i="6"/>
  <c r="R93" i="6"/>
  <c r="Q96" i="6"/>
  <c r="Q94" i="6"/>
  <c r="K86" i="6"/>
  <c r="R17" i="6"/>
  <c r="Q84" i="6"/>
  <c r="S20" i="6"/>
  <c r="I79" i="6"/>
  <c r="S40" i="6"/>
  <c r="Q9" i="6"/>
  <c r="Q73" i="6"/>
  <c r="R63" i="6"/>
  <c r="R26" i="6"/>
  <c r="Q13" i="6"/>
  <c r="R24" i="6"/>
  <c r="S24" i="6"/>
  <c r="S57" i="6"/>
  <c r="Q30" i="6"/>
  <c r="S4" i="6"/>
  <c r="Q20" i="6"/>
  <c r="S21" i="6"/>
  <c r="S42" i="6"/>
  <c r="R12" i="6"/>
  <c r="R69" i="6"/>
  <c r="S69" i="6"/>
  <c r="R50" i="6"/>
  <c r="R43" i="6"/>
  <c r="S36" i="6"/>
  <c r="R59" i="6"/>
  <c r="I76" i="3"/>
  <c r="S18" i="3"/>
  <c r="Q13" i="3"/>
  <c r="R18" i="3"/>
  <c r="S20" i="3"/>
  <c r="Q22" i="3"/>
  <c r="S17" i="3"/>
  <c r="Q23" i="3"/>
  <c r="R26" i="3"/>
  <c r="S13" i="3"/>
  <c r="R17" i="3"/>
  <c r="S84" i="3"/>
  <c r="R25" i="3"/>
  <c r="R15" i="3"/>
  <c r="Q27" i="3"/>
  <c r="S24" i="3"/>
  <c r="Q26" i="3"/>
  <c r="Q19" i="3"/>
  <c r="S22" i="3"/>
  <c r="S15" i="3"/>
  <c r="S12" i="3"/>
  <c r="S25" i="3"/>
  <c r="S8" i="3"/>
  <c r="Q11" i="3"/>
  <c r="S27" i="3"/>
  <c r="Q28" i="3"/>
  <c r="R23" i="3"/>
  <c r="Q16" i="3"/>
  <c r="R11" i="3"/>
  <c r="R20" i="3"/>
  <c r="R8" i="3"/>
  <c r="R24" i="3"/>
  <c r="S19" i="3"/>
  <c r="R12" i="3"/>
  <c r="S7" i="3"/>
  <c r="S14" i="3"/>
  <c r="R7" i="3"/>
  <c r="S21" i="3"/>
  <c r="R14" i="3"/>
  <c r="S9" i="3"/>
  <c r="S28" i="3"/>
  <c r="R21" i="3"/>
  <c r="S16" i="3"/>
  <c r="R9" i="3"/>
  <c r="S74" i="3"/>
  <c r="I48" i="3"/>
  <c r="R84" i="3"/>
  <c r="I89" i="3"/>
  <c r="S71" i="3"/>
  <c r="R85" i="3"/>
  <c r="Q74" i="3"/>
  <c r="Q83" i="3"/>
  <c r="R83" i="3"/>
  <c r="Q73" i="3"/>
  <c r="I88" i="3"/>
  <c r="K87" i="3"/>
  <c r="I56" i="3"/>
  <c r="I64" i="3"/>
  <c r="Q72" i="3"/>
  <c r="Q86" i="3"/>
  <c r="S70" i="3"/>
  <c r="R86" i="3"/>
  <c r="I77" i="3"/>
  <c r="Q39" i="3"/>
  <c r="Q85" i="3"/>
  <c r="Q82" i="3"/>
  <c r="R82" i="3"/>
  <c r="R73" i="3"/>
  <c r="K75" i="3"/>
  <c r="R72" i="3"/>
  <c r="Q70" i="3"/>
  <c r="I65" i="3"/>
  <c r="R54" i="3"/>
  <c r="Q71" i="3"/>
  <c r="I57" i="3"/>
  <c r="Q62" i="3"/>
  <c r="K63" i="3"/>
  <c r="R62" i="3"/>
  <c r="R39" i="3"/>
  <c r="R46" i="3"/>
  <c r="S46" i="3"/>
  <c r="K55" i="3"/>
  <c r="I49" i="3"/>
  <c r="R41" i="3"/>
  <c r="S41" i="3"/>
  <c r="Q43" i="3"/>
  <c r="Q36" i="3"/>
  <c r="R43" i="3"/>
  <c r="Q54" i="3"/>
  <c r="S40" i="3"/>
  <c r="Q38" i="3"/>
  <c r="R38" i="3"/>
  <c r="S37" i="3"/>
  <c r="Q45" i="3"/>
  <c r="K47" i="3"/>
  <c r="R45" i="3"/>
  <c r="Q40" i="3"/>
  <c r="R36" i="3"/>
  <c r="Q42" i="3"/>
  <c r="R42" i="3"/>
  <c r="Q44" i="3"/>
  <c r="R44" i="3"/>
  <c r="Q37" i="3"/>
  <c r="I30" i="3"/>
  <c r="Q4" i="3"/>
  <c r="R4" i="3"/>
  <c r="R18" i="7"/>
  <c r="R12" i="7"/>
  <c r="Q7" i="7"/>
  <c r="S12" i="7"/>
  <c r="S19" i="7"/>
  <c r="S13" i="7"/>
  <c r="S9" i="7"/>
  <c r="S7" i="7"/>
  <c r="Q15" i="7"/>
  <c r="Q20" i="7"/>
  <c r="R15" i="7"/>
  <c r="R14" i="7"/>
  <c r="R6" i="7"/>
  <c r="S20" i="7"/>
  <c r="S16" i="7"/>
  <c r="R16" i="7"/>
  <c r="Q16" i="7"/>
  <c r="K21" i="7"/>
  <c r="Q8" i="7"/>
  <c r="S8" i="7"/>
  <c r="R8" i="7"/>
  <c r="I23" i="7"/>
  <c r="R19" i="7"/>
  <c r="R4" i="7"/>
  <c r="Q4" i="7"/>
  <c r="R11" i="7"/>
  <c r="Q11" i="7"/>
  <c r="S11" i="7"/>
  <c r="S5" i="7"/>
  <c r="R5" i="7"/>
  <c r="I22" i="7"/>
  <c r="R17" i="7"/>
  <c r="Q17" i="7"/>
  <c r="S17" i="7"/>
  <c r="S10" i="7"/>
  <c r="R10" i="7"/>
  <c r="Q18" i="7"/>
  <c r="Q14" i="7"/>
  <c r="Q6" i="7"/>
  <c r="S14" i="6"/>
  <c r="R21" i="6"/>
  <c r="Q63" i="6"/>
  <c r="S59" i="6"/>
  <c r="R42" i="6"/>
  <c r="R70" i="6"/>
  <c r="S43" i="6"/>
  <c r="R36" i="6"/>
  <c r="R74" i="6"/>
  <c r="S26" i="6"/>
  <c r="Q58" i="6"/>
  <c r="R30" i="6"/>
  <c r="S15" i="6"/>
  <c r="R16" i="6"/>
  <c r="Q53" i="6"/>
  <c r="R58" i="6"/>
  <c r="S53" i="6"/>
  <c r="S28" i="6"/>
  <c r="Q12" i="6"/>
  <c r="Q17" i="6"/>
  <c r="Q61" i="6"/>
  <c r="Q62" i="6"/>
  <c r="Q64" i="6"/>
  <c r="Q37" i="6"/>
  <c r="Q34" i="6"/>
  <c r="R47" i="6"/>
  <c r="Q56" i="6"/>
  <c r="R61" i="6"/>
  <c r="Q75" i="6"/>
  <c r="Q8" i="6"/>
  <c r="Q18" i="6"/>
  <c r="R64" i="6"/>
  <c r="R37" i="6"/>
  <c r="Q48" i="6"/>
  <c r="Q39" i="6"/>
  <c r="R34" i="6"/>
  <c r="Q11" i="6"/>
  <c r="S47" i="6"/>
  <c r="Q70" i="6"/>
  <c r="R56" i="6"/>
  <c r="Q74" i="6"/>
  <c r="R15" i="6"/>
  <c r="S75" i="6"/>
  <c r="R8" i="6"/>
  <c r="R18" i="6"/>
  <c r="R39" i="6"/>
  <c r="R11" i="6"/>
  <c r="Q28" i="6"/>
  <c r="Q4" i="6"/>
  <c r="Q60" i="6"/>
  <c r="Q57" i="6"/>
  <c r="R25" i="6"/>
  <c r="Q40" i="6"/>
  <c r="R67" i="6"/>
  <c r="R14" i="6"/>
  <c r="Q68" i="6"/>
  <c r="S25" i="6"/>
  <c r="S67" i="6"/>
  <c r="Q50" i="6"/>
  <c r="K77" i="6"/>
  <c r="S51" i="6"/>
  <c r="Q51" i="6"/>
  <c r="R51" i="6"/>
  <c r="S33" i="6"/>
  <c r="R33" i="6"/>
  <c r="S32" i="6"/>
  <c r="Q32" i="6"/>
  <c r="R32" i="6"/>
  <c r="S52" i="6"/>
  <c r="R52" i="6"/>
  <c r="Q33" i="6"/>
  <c r="S72" i="6"/>
  <c r="R72" i="6"/>
  <c r="S10" i="6"/>
  <c r="R10" i="6"/>
  <c r="Q10" i="6"/>
  <c r="S54" i="6"/>
  <c r="R54" i="6"/>
  <c r="S45" i="6"/>
  <c r="R45" i="6"/>
  <c r="S44" i="6"/>
  <c r="R44" i="6"/>
  <c r="Q44" i="6"/>
  <c r="S55" i="6"/>
  <c r="R55" i="6"/>
  <c r="Q55" i="6"/>
  <c r="S19" i="6"/>
  <c r="R19" i="6"/>
  <c r="Q65" i="6"/>
  <c r="R65" i="6"/>
  <c r="S65" i="6"/>
  <c r="Q45" i="6"/>
  <c r="S38" i="6"/>
  <c r="R38" i="6"/>
  <c r="S41" i="6"/>
  <c r="R41" i="6"/>
  <c r="S76" i="6"/>
  <c r="R76" i="6"/>
  <c r="Q76" i="6"/>
  <c r="S31" i="6"/>
  <c r="R31" i="6"/>
  <c r="Q31" i="6"/>
  <c r="Q66" i="6"/>
  <c r="S29" i="6"/>
  <c r="R29" i="6"/>
  <c r="S27" i="6"/>
  <c r="R27" i="6"/>
  <c r="Q27" i="6"/>
  <c r="S35" i="6"/>
  <c r="R35" i="6"/>
  <c r="Q35" i="6"/>
  <c r="S5" i="6"/>
  <c r="R5" i="6"/>
  <c r="Q5" i="6"/>
  <c r="S7" i="6"/>
  <c r="R7" i="6"/>
  <c r="Q7" i="6"/>
  <c r="S71" i="6"/>
  <c r="R71" i="6"/>
  <c r="Q71" i="6"/>
  <c r="S22" i="6"/>
  <c r="R22" i="6"/>
  <c r="Q22" i="6"/>
  <c r="R66" i="6"/>
  <c r="S23" i="6"/>
  <c r="R23" i="6"/>
  <c r="S49" i="6"/>
  <c r="R49" i="6"/>
  <c r="R9" i="6"/>
  <c r="R62" i="6"/>
  <c r="R73" i="6"/>
  <c r="R60" i="6"/>
  <c r="R48" i="6"/>
  <c r="R13" i="6"/>
  <c r="R68" i="6"/>
  <c r="S6" i="6"/>
  <c r="R6" i="6"/>
  <c r="Q23" i="6"/>
  <c r="S46" i="6"/>
  <c r="R46" i="6"/>
  <c r="Q46" i="6"/>
  <c r="Q16" i="6"/>
  <c r="K3" i="5"/>
  <c r="I4" i="5"/>
  <c r="R10" i="4"/>
  <c r="Q11" i="4"/>
  <c r="Q72" i="4"/>
  <c r="S6" i="4"/>
  <c r="S10" i="4"/>
  <c r="S11" i="4"/>
  <c r="R16" i="4"/>
  <c r="Q36" i="4"/>
  <c r="Q26" i="4"/>
  <c r="S84" i="4"/>
  <c r="Q67" i="4"/>
  <c r="Q61" i="4"/>
  <c r="R24" i="4"/>
  <c r="S32" i="4"/>
  <c r="Q98" i="4"/>
  <c r="S28" i="4"/>
  <c r="R48" i="4"/>
  <c r="Q65" i="4"/>
  <c r="R95" i="4"/>
  <c r="S98" i="4"/>
  <c r="Q34" i="4"/>
  <c r="S17" i="4"/>
  <c r="S48" i="4"/>
  <c r="S65" i="4"/>
  <c r="R80" i="4"/>
  <c r="Q49" i="4"/>
  <c r="S3" i="4"/>
  <c r="Q53" i="4"/>
  <c r="Q78" i="4"/>
  <c r="S27" i="4"/>
  <c r="S95" i="4"/>
  <c r="S66" i="4"/>
  <c r="Q47" i="4"/>
  <c r="Q60" i="4"/>
  <c r="Q42" i="4"/>
  <c r="Q76" i="4"/>
  <c r="R6" i="4"/>
  <c r="R15" i="4"/>
  <c r="R28" i="4"/>
  <c r="R17" i="4"/>
  <c r="R25" i="4"/>
  <c r="R3" i="4"/>
  <c r="R27" i="4"/>
  <c r="S30" i="4"/>
  <c r="R32" i="4"/>
  <c r="Q64" i="4"/>
  <c r="I102" i="4"/>
  <c r="Q82" i="4"/>
  <c r="R88" i="4"/>
  <c r="Q9" i="4"/>
  <c r="R59" i="4"/>
  <c r="R71" i="4"/>
  <c r="Q5" i="4"/>
  <c r="R47" i="4"/>
  <c r="Q75" i="4"/>
  <c r="R31" i="4"/>
  <c r="Q63" i="4"/>
  <c r="R82" i="4"/>
  <c r="Q89" i="4"/>
  <c r="R60" i="4"/>
  <c r="R40" i="4"/>
  <c r="R20" i="4"/>
  <c r="Q68" i="4"/>
  <c r="Q93" i="4"/>
  <c r="R76" i="4"/>
  <c r="R9" i="4"/>
  <c r="Q45" i="4"/>
  <c r="Q57" i="4"/>
  <c r="R85" i="4"/>
  <c r="R70" i="4"/>
  <c r="R58" i="4"/>
  <c r="Q20" i="4"/>
  <c r="S71" i="4"/>
  <c r="R5" i="4"/>
  <c r="R75" i="4"/>
  <c r="S31" i="4"/>
  <c r="R63" i="4"/>
  <c r="R89" i="4"/>
  <c r="S40" i="4"/>
  <c r="R68" i="4"/>
  <c r="R93" i="4"/>
  <c r="R45" i="4"/>
  <c r="R57" i="4"/>
  <c r="R35" i="4"/>
  <c r="R62" i="4"/>
  <c r="R77" i="4"/>
  <c r="R97" i="4"/>
  <c r="R23" i="4"/>
  <c r="R18" i="4"/>
  <c r="R30" i="4"/>
  <c r="S91" i="4"/>
  <c r="S50" i="4"/>
  <c r="Q50" i="4"/>
  <c r="K101" i="4"/>
  <c r="S35" i="4"/>
  <c r="Q39" i="4"/>
  <c r="S77" i="4"/>
  <c r="Q29" i="4"/>
  <c r="S85" i="4"/>
  <c r="Q4" i="4"/>
  <c r="S97" i="4"/>
  <c r="Q90" i="4"/>
  <c r="S62" i="4"/>
  <c r="Q7" i="4"/>
  <c r="S23" i="4"/>
  <c r="Q8" i="4"/>
  <c r="S70" i="4"/>
  <c r="Q54" i="4"/>
  <c r="S18" i="4"/>
  <c r="Q19" i="4"/>
  <c r="S88" i="4"/>
  <c r="Q55" i="4"/>
  <c r="S49" i="4"/>
  <c r="Q56" i="4"/>
  <c r="Q12" i="4"/>
  <c r="S58" i="4"/>
  <c r="S61" i="4"/>
  <c r="Q81" i="4"/>
  <c r="R42" i="4"/>
  <c r="Q38" i="4"/>
  <c r="R50" i="4"/>
  <c r="S96" i="4"/>
  <c r="Q96" i="4"/>
  <c r="S59" i="4"/>
  <c r="S64" i="4"/>
  <c r="R39" i="4"/>
  <c r="R29" i="4"/>
  <c r="R90" i="4"/>
  <c r="R8" i="4"/>
  <c r="R81" i="4"/>
  <c r="R38" i="4"/>
  <c r="Q100" i="4"/>
  <c r="Q22" i="4"/>
  <c r="Q73" i="4"/>
  <c r="S4" i="4"/>
  <c r="Q94" i="4"/>
  <c r="Q74" i="4"/>
  <c r="S7" i="4"/>
  <c r="Q14" i="4"/>
  <c r="Q99" i="4"/>
  <c r="S54" i="4"/>
  <c r="Q69" i="4"/>
  <c r="S19" i="4"/>
  <c r="Q41" i="4"/>
  <c r="S55" i="4"/>
  <c r="S56" i="4"/>
  <c r="Q52" i="4"/>
  <c r="R37" i="4"/>
  <c r="Q21" i="4"/>
  <c r="Q43" i="4"/>
  <c r="R12" i="4"/>
  <c r="R100" i="4"/>
  <c r="R22" i="4"/>
  <c r="R73" i="4"/>
  <c r="R94" i="4"/>
  <c r="R74" i="4"/>
  <c r="R14" i="4"/>
  <c r="R99" i="4"/>
  <c r="R69" i="4"/>
  <c r="R41" i="4"/>
  <c r="S52" i="4"/>
  <c r="S87" i="4"/>
  <c r="Q87" i="4"/>
  <c r="S37" i="4"/>
  <c r="S21" i="4"/>
  <c r="R43" i="4"/>
  <c r="S44" i="4"/>
  <c r="Q44" i="4"/>
  <c r="R26" i="4"/>
  <c r="R84" i="4"/>
  <c r="R87" i="4"/>
  <c r="S83" i="4"/>
  <c r="Q83" i="4"/>
  <c r="R91" i="4"/>
  <c r="Q66" i="4"/>
  <c r="R5" i="3"/>
  <c r="I31" i="3"/>
  <c r="K29" i="3"/>
  <c r="S31" i="3" s="1"/>
  <c r="Q5" i="3"/>
  <c r="Q6" i="3"/>
  <c r="R6" i="3"/>
  <c r="R148" i="2"/>
  <c r="R61" i="2"/>
  <c r="Q25" i="2"/>
  <c r="Q77" i="2"/>
  <c r="R94" i="2"/>
  <c r="Q222" i="2"/>
  <c r="R210" i="2"/>
  <c r="R144" i="2"/>
  <c r="Q197" i="2"/>
  <c r="S199" i="2"/>
  <c r="S71" i="2"/>
  <c r="Q91" i="2"/>
  <c r="R185" i="2"/>
  <c r="Q161" i="2"/>
  <c r="R218" i="2"/>
  <c r="Q76" i="2"/>
  <c r="Q213" i="2"/>
  <c r="Q55" i="2"/>
  <c r="Q131" i="2"/>
  <c r="S192" i="2"/>
  <c r="R213" i="2"/>
  <c r="Q217" i="2"/>
  <c r="R140" i="2"/>
  <c r="Q207" i="2"/>
  <c r="Q10" i="2"/>
  <c r="S27" i="2"/>
  <c r="Q50" i="2"/>
  <c r="Q127" i="2"/>
  <c r="R77" i="2"/>
  <c r="Q145" i="2"/>
  <c r="R214" i="2"/>
  <c r="R6" i="2"/>
  <c r="Q187" i="2"/>
  <c r="S54" i="2"/>
  <c r="S33" i="2"/>
  <c r="R221" i="2"/>
  <c r="R164" i="2"/>
  <c r="R167" i="2"/>
  <c r="S207" i="2"/>
  <c r="R50" i="2"/>
  <c r="R102" i="2"/>
  <c r="S145" i="2"/>
  <c r="S214" i="2"/>
  <c r="Q231" i="2"/>
  <c r="R228" i="2"/>
  <c r="Q149" i="2"/>
  <c r="Q148" i="2"/>
  <c r="S10" i="2"/>
  <c r="Q20" i="2"/>
  <c r="S146" i="2"/>
  <c r="R13" i="2"/>
  <c r="Q71" i="2"/>
  <c r="S68" i="2"/>
  <c r="S94" i="2"/>
  <c r="S127" i="2"/>
  <c r="Q39" i="2"/>
  <c r="S113" i="2"/>
  <c r="Q202" i="2"/>
  <c r="R243" i="2"/>
  <c r="Q164" i="2"/>
  <c r="Q157" i="2"/>
  <c r="S184" i="2"/>
  <c r="S204" i="2"/>
  <c r="R194" i="2"/>
  <c r="R111" i="2"/>
  <c r="R42" i="2"/>
  <c r="R75" i="2"/>
  <c r="S79" i="2"/>
  <c r="Q33" i="2"/>
  <c r="S130" i="2"/>
  <c r="R79" i="2"/>
  <c r="S121" i="2"/>
  <c r="S174" i="2"/>
  <c r="R161" i="2"/>
  <c r="Q227" i="2"/>
  <c r="S221" i="2"/>
  <c r="R9" i="2"/>
  <c r="Q130" i="2"/>
  <c r="R85" i="2"/>
  <c r="Q201" i="2"/>
  <c r="S24" i="2"/>
  <c r="R121" i="2"/>
  <c r="R53" i="2"/>
  <c r="R8" i="2"/>
  <c r="Q203" i="2"/>
  <c r="Q191" i="2"/>
  <c r="R223" i="2"/>
  <c r="Q247" i="2"/>
  <c r="Q230" i="2"/>
  <c r="R234" i="2"/>
  <c r="S173" i="2"/>
  <c r="Q172" i="2"/>
  <c r="R211" i="2"/>
  <c r="Q58" i="2"/>
  <c r="Q196" i="2"/>
  <c r="S177" i="2"/>
  <c r="Q169" i="2"/>
  <c r="Q22" i="2"/>
  <c r="S16" i="2"/>
  <c r="S21" i="2"/>
  <c r="S5" i="2"/>
  <c r="S30" i="2"/>
  <c r="S70" i="2"/>
  <c r="Q98" i="2"/>
  <c r="R87" i="2"/>
  <c r="S65" i="2"/>
  <c r="Q43" i="2"/>
  <c r="Q49" i="2"/>
  <c r="S101" i="2"/>
  <c r="R93" i="2"/>
  <c r="Q115" i="2"/>
  <c r="S116" i="2"/>
  <c r="R106" i="2"/>
  <c r="Q96" i="2"/>
  <c r="R143" i="2"/>
  <c r="S244" i="2"/>
  <c r="S237" i="2"/>
  <c r="R235" i="2"/>
  <c r="S232" i="2"/>
  <c r="R173" i="2"/>
  <c r="S190" i="2"/>
  <c r="S193" i="2"/>
  <c r="R16" i="2"/>
  <c r="R21" i="2"/>
  <c r="R30" i="2"/>
  <c r="R70" i="2"/>
  <c r="R126" i="2"/>
  <c r="R124" i="2"/>
  <c r="R125" i="2"/>
  <c r="S38" i="2"/>
  <c r="R116" i="2"/>
  <c r="S56" i="2"/>
  <c r="I250" i="2"/>
  <c r="S144" i="2"/>
  <c r="Q143" i="2"/>
  <c r="S243" i="2"/>
  <c r="R244" i="2"/>
  <c r="Q237" i="2"/>
  <c r="S218" i="2"/>
  <c r="Q235" i="2"/>
  <c r="R232" i="2"/>
  <c r="S3" i="2"/>
  <c r="R82" i="2"/>
  <c r="S85" i="2"/>
  <c r="R197" i="2"/>
  <c r="R181" i="2"/>
  <c r="Q190" i="2"/>
  <c r="R193" i="2"/>
  <c r="S6" i="2"/>
  <c r="S13" i="2"/>
  <c r="Q153" i="2"/>
  <c r="S111" i="2"/>
  <c r="Q86" i="2"/>
  <c r="Q36" i="2"/>
  <c r="Q95" i="2"/>
  <c r="Q126" i="2"/>
  <c r="Q133" i="2"/>
  <c r="Q124" i="2"/>
  <c r="S47" i="2"/>
  <c r="Q125" i="2"/>
  <c r="R38" i="2"/>
  <c r="Q119" i="2"/>
  <c r="Q56" i="2"/>
  <c r="Q63" i="2"/>
  <c r="R192" i="2"/>
  <c r="S191" i="2"/>
  <c r="Q185" i="2"/>
  <c r="Q159" i="2"/>
  <c r="S219" i="2"/>
  <c r="R241" i="2"/>
  <c r="R239" i="2"/>
  <c r="S230" i="2"/>
  <c r="S229" i="2"/>
  <c r="Q233" i="2"/>
  <c r="Q228" i="2"/>
  <c r="R245" i="2"/>
  <c r="Q140" i="2"/>
  <c r="S90" i="2"/>
  <c r="Q205" i="2"/>
  <c r="Q184" i="2"/>
  <c r="S151" i="2"/>
  <c r="Q61" i="2"/>
  <c r="R204" i="2"/>
  <c r="S156" i="2"/>
  <c r="R199" i="2"/>
  <c r="Q167" i="2"/>
  <c r="S22" i="2"/>
  <c r="R24" i="2"/>
  <c r="R146" i="2"/>
  <c r="S19" i="2"/>
  <c r="R27" i="2"/>
  <c r="S120" i="2"/>
  <c r="R68" i="2"/>
  <c r="R137" i="2"/>
  <c r="S110" i="2"/>
  <c r="S34" i="2"/>
  <c r="S96" i="2"/>
  <c r="R113" i="2"/>
  <c r="S8" i="2"/>
  <c r="Q152" i="2"/>
  <c r="R219" i="2"/>
  <c r="Q239" i="2"/>
  <c r="R247" i="2"/>
  <c r="R215" i="2"/>
  <c r="S234" i="2"/>
  <c r="R172" i="2"/>
  <c r="S211" i="2"/>
  <c r="R26" i="2"/>
  <c r="R151" i="2"/>
  <c r="R196" i="2"/>
  <c r="R200" i="2"/>
  <c r="Q156" i="2"/>
  <c r="R19" i="2"/>
  <c r="R120" i="2"/>
  <c r="R98" i="2"/>
  <c r="S87" i="2"/>
  <c r="Q129" i="2"/>
  <c r="Q137" i="2"/>
  <c r="Q110" i="2"/>
  <c r="R43" i="2"/>
  <c r="S49" i="2"/>
  <c r="Q100" i="2"/>
  <c r="S93" i="2"/>
  <c r="S115" i="2"/>
  <c r="S106" i="2"/>
  <c r="Q34" i="2"/>
  <c r="Q158" i="2"/>
  <c r="R174" i="2"/>
  <c r="S236" i="2"/>
  <c r="Q241" i="2"/>
  <c r="S225" i="2"/>
  <c r="Q216" i="2"/>
  <c r="R229" i="2"/>
  <c r="Q3" i="2"/>
  <c r="S4" i="2"/>
  <c r="R90" i="2"/>
  <c r="S62" i="2"/>
  <c r="Q206" i="2"/>
  <c r="R170" i="2"/>
  <c r="S178" i="2"/>
  <c r="Q181" i="2"/>
  <c r="S163" i="2"/>
  <c r="Q177" i="2"/>
  <c r="R160" i="2"/>
  <c r="S59" i="2"/>
  <c r="Q54" i="2"/>
  <c r="Q42" i="2"/>
  <c r="S57" i="2"/>
  <c r="Q75" i="2"/>
  <c r="Q65" i="2"/>
  <c r="S104" i="2"/>
  <c r="Q132" i="2"/>
  <c r="S112" i="2"/>
  <c r="S105" i="2"/>
  <c r="S109" i="2"/>
  <c r="Q101" i="2"/>
  <c r="S35" i="2"/>
  <c r="S134" i="2"/>
  <c r="I251" i="2"/>
  <c r="R182" i="2"/>
  <c r="S159" i="2"/>
  <c r="R236" i="2"/>
  <c r="S248" i="2"/>
  <c r="S233" i="2"/>
  <c r="S246" i="2"/>
  <c r="S166" i="2"/>
  <c r="R142" i="2"/>
  <c r="R4" i="2"/>
  <c r="R62" i="2"/>
  <c r="S58" i="2"/>
  <c r="S189" i="2"/>
  <c r="R178" i="2"/>
  <c r="R163" i="2"/>
  <c r="S149" i="2"/>
  <c r="R14" i="2"/>
  <c r="S17" i="2"/>
  <c r="R176" i="2"/>
  <c r="S155" i="2"/>
  <c r="S86" i="2"/>
  <c r="S76" i="2"/>
  <c r="S41" i="2"/>
  <c r="S95" i="2"/>
  <c r="R57" i="2"/>
  <c r="R104" i="2"/>
  <c r="S133" i="2"/>
  <c r="R112" i="2"/>
  <c r="S91" i="2"/>
  <c r="R105" i="2"/>
  <c r="R109" i="2"/>
  <c r="S55" i="2"/>
  <c r="S100" i="2"/>
  <c r="R35" i="2"/>
  <c r="R134" i="2"/>
  <c r="S39" i="2"/>
  <c r="R67" i="2"/>
  <c r="R225" i="2"/>
  <c r="R203" i="2"/>
  <c r="Q182" i="2"/>
  <c r="S223" i="2"/>
  <c r="Q240" i="2"/>
  <c r="R248" i="2"/>
  <c r="R231" i="2"/>
  <c r="Q246" i="2"/>
  <c r="R166" i="2"/>
  <c r="Q142" i="2"/>
  <c r="R147" i="2"/>
  <c r="S82" i="2"/>
  <c r="Q189" i="2"/>
  <c r="R201" i="2"/>
  <c r="S169" i="2"/>
  <c r="Q14" i="2"/>
  <c r="Q17" i="2"/>
  <c r="Q176" i="2"/>
  <c r="R155" i="2"/>
  <c r="S187" i="2"/>
  <c r="R153" i="2"/>
  <c r="S36" i="2"/>
  <c r="Q41" i="2"/>
  <c r="S129" i="2"/>
  <c r="Q89" i="2"/>
  <c r="S117" i="2"/>
  <c r="R119" i="2"/>
  <c r="R63" i="2"/>
  <c r="S131" i="2"/>
  <c r="Q67" i="2"/>
  <c r="S186" i="2"/>
  <c r="R186" i="2"/>
  <c r="Q212" i="2"/>
  <c r="R212" i="2"/>
  <c r="S40" i="2"/>
  <c r="R40" i="2"/>
  <c r="Q80" i="2"/>
  <c r="R80" i="2"/>
  <c r="S60" i="2"/>
  <c r="R60" i="2"/>
  <c r="Q88" i="2"/>
  <c r="R88" i="2"/>
  <c r="Q46" i="2"/>
  <c r="R46" i="2"/>
  <c r="S46" i="2"/>
  <c r="Q97" i="2"/>
  <c r="R97" i="2"/>
  <c r="S45" i="2"/>
  <c r="R45" i="2"/>
  <c r="Q108" i="2"/>
  <c r="R108" i="2"/>
  <c r="Q32" i="2"/>
  <c r="R32" i="2"/>
  <c r="S226" i="2"/>
  <c r="S238" i="2"/>
  <c r="S242" i="2"/>
  <c r="S224" i="2"/>
  <c r="R208" i="2"/>
  <c r="S208" i="2"/>
  <c r="Q18" i="2"/>
  <c r="R18" i="2"/>
  <c r="S18" i="2"/>
  <c r="S2" i="2"/>
  <c r="R51" i="2"/>
  <c r="S51" i="2"/>
  <c r="Q78" i="2"/>
  <c r="R78" i="2"/>
  <c r="S78" i="2"/>
  <c r="S74" i="2"/>
  <c r="S158" i="2"/>
  <c r="R175" i="2"/>
  <c r="S202" i="2"/>
  <c r="R188" i="2"/>
  <c r="S152" i="2"/>
  <c r="R226" i="2"/>
  <c r="S227" i="2"/>
  <c r="R238" i="2"/>
  <c r="S240" i="2"/>
  <c r="R242" i="2"/>
  <c r="S217" i="2"/>
  <c r="S216" i="2"/>
  <c r="R224" i="2"/>
  <c r="S220" i="2"/>
  <c r="S222" i="2"/>
  <c r="Q245" i="2"/>
  <c r="S195" i="2"/>
  <c r="S157" i="2"/>
  <c r="Q147" i="2"/>
  <c r="S107" i="2"/>
  <c r="S205" i="2"/>
  <c r="Q170" i="2"/>
  <c r="S139" i="2"/>
  <c r="R150" i="2"/>
  <c r="S150" i="2"/>
  <c r="Q7" i="2"/>
  <c r="R7" i="2"/>
  <c r="S7" i="2"/>
  <c r="S25" i="2"/>
  <c r="S23" i="2"/>
  <c r="R23" i="2"/>
  <c r="S15" i="2"/>
  <c r="R2" i="2"/>
  <c r="R5" i="2"/>
  <c r="Q154" i="2"/>
  <c r="R154" i="2"/>
  <c r="S183" i="2"/>
  <c r="Q59" i="2"/>
  <c r="R114" i="2"/>
  <c r="S114" i="2"/>
  <c r="Q128" i="2"/>
  <c r="R128" i="2"/>
  <c r="S128" i="2"/>
  <c r="S132" i="2"/>
  <c r="S69" i="2"/>
  <c r="R69" i="2"/>
  <c r="S138" i="2"/>
  <c r="R74" i="2"/>
  <c r="R117" i="2"/>
  <c r="S66" i="2"/>
  <c r="Q47" i="2"/>
  <c r="R84" i="2"/>
  <c r="S84" i="2"/>
  <c r="Q179" i="2"/>
  <c r="R179" i="2"/>
  <c r="S179" i="2"/>
  <c r="R162" i="2"/>
  <c r="S162" i="2"/>
  <c r="Q52" i="2"/>
  <c r="R52" i="2"/>
  <c r="S52" i="2"/>
  <c r="R83" i="2"/>
  <c r="S83" i="2"/>
  <c r="Q31" i="2"/>
  <c r="R31" i="2"/>
  <c r="S31" i="2"/>
  <c r="Q171" i="2"/>
  <c r="R171" i="2"/>
  <c r="R141" i="2"/>
  <c r="S141" i="2"/>
  <c r="S28" i="2"/>
  <c r="R28" i="2"/>
  <c r="R81" i="2"/>
  <c r="S81" i="2"/>
  <c r="Q135" i="2"/>
  <c r="R135" i="2"/>
  <c r="S135" i="2"/>
  <c r="R12" i="2"/>
  <c r="S12" i="2"/>
  <c r="Q198" i="2"/>
  <c r="R198" i="2"/>
  <c r="S198" i="2"/>
  <c r="S168" i="2"/>
  <c r="R168" i="2"/>
  <c r="R136" i="2"/>
  <c r="S136" i="2"/>
  <c r="Q64" i="2"/>
  <c r="R64" i="2"/>
  <c r="S64" i="2"/>
  <c r="S122" i="2"/>
  <c r="R122" i="2"/>
  <c r="Q92" i="2"/>
  <c r="R92" i="2"/>
  <c r="K249" i="2"/>
  <c r="S175" i="2"/>
  <c r="S188" i="2"/>
  <c r="S11" i="2"/>
  <c r="R11" i="2"/>
  <c r="S44" i="2"/>
  <c r="R44" i="2"/>
  <c r="Q37" i="2"/>
  <c r="R37" i="2"/>
  <c r="R73" i="2"/>
  <c r="S73" i="2"/>
  <c r="S215" i="2"/>
  <c r="Q220" i="2"/>
  <c r="S9" i="2"/>
  <c r="Q195" i="2"/>
  <c r="S26" i="2"/>
  <c r="Q107" i="2"/>
  <c r="S210" i="2"/>
  <c r="Q139" i="2"/>
  <c r="S200" i="2"/>
  <c r="R165" i="2"/>
  <c r="S165" i="2"/>
  <c r="Q186" i="2"/>
  <c r="Q180" i="2"/>
  <c r="R180" i="2"/>
  <c r="S180" i="2"/>
  <c r="S209" i="2"/>
  <c r="R209" i="2"/>
  <c r="S160" i="2"/>
  <c r="S212" i="2"/>
  <c r="R15" i="2"/>
  <c r="S20" i="2"/>
  <c r="Q183" i="2"/>
  <c r="Q162" i="2"/>
  <c r="R99" i="2"/>
  <c r="S99" i="2"/>
  <c r="Q40" i="2"/>
  <c r="Q72" i="2"/>
  <c r="R72" i="2"/>
  <c r="S72" i="2"/>
  <c r="S123" i="2"/>
  <c r="R123" i="2"/>
  <c r="S102" i="2"/>
  <c r="S80" i="2"/>
  <c r="R138" i="2"/>
  <c r="Q48" i="2"/>
  <c r="R48" i="2"/>
  <c r="S89" i="2"/>
  <c r="Q66" i="2"/>
  <c r="Q83" i="2"/>
  <c r="R103" i="2"/>
  <c r="S103" i="2"/>
  <c r="Q60" i="2"/>
  <c r="Q29" i="2"/>
  <c r="R29" i="2"/>
  <c r="S29" i="2"/>
  <c r="S118" i="2"/>
  <c r="R118" i="2"/>
  <c r="S53" i="2"/>
  <c r="S88" i="2"/>
  <c r="S123" i="6" l="1"/>
  <c r="P123" i="6"/>
  <c r="M123" i="6"/>
  <c r="S193" i="6"/>
  <c r="M193" i="6"/>
  <c r="P193" i="6"/>
  <c r="S212" i="6"/>
  <c r="P212" i="6"/>
  <c r="M212" i="6"/>
  <c r="S178" i="6"/>
  <c r="P178" i="6"/>
  <c r="M178" i="6"/>
  <c r="S220" i="6"/>
  <c r="P220" i="6"/>
  <c r="M220" i="6"/>
  <c r="S157" i="6"/>
  <c r="P157" i="6"/>
  <c r="M157" i="6"/>
  <c r="S147" i="6"/>
  <c r="P147" i="6"/>
  <c r="M147" i="6"/>
  <c r="S113" i="6"/>
  <c r="P113" i="6"/>
  <c r="M113" i="6"/>
  <c r="S101" i="6"/>
  <c r="P101" i="6"/>
  <c r="M101" i="6"/>
  <c r="S88" i="6"/>
  <c r="P88" i="6"/>
  <c r="M88" i="6"/>
  <c r="S89" i="3"/>
  <c r="P89" i="3"/>
  <c r="M89" i="3"/>
  <c r="M31" i="3"/>
  <c r="S77" i="3"/>
  <c r="P77" i="3"/>
  <c r="M77" i="3"/>
  <c r="S65" i="3"/>
  <c r="P65" i="3"/>
  <c r="M65" i="3"/>
  <c r="S57" i="3"/>
  <c r="P57" i="3"/>
  <c r="M57" i="3"/>
  <c r="S49" i="3"/>
  <c r="P49" i="3"/>
  <c r="M49" i="3"/>
  <c r="S23" i="7"/>
  <c r="M23" i="7"/>
  <c r="P23" i="7"/>
  <c r="S79" i="6"/>
  <c r="P79" i="6"/>
  <c r="M79" i="6"/>
  <c r="M5" i="5"/>
  <c r="S5" i="5"/>
  <c r="P5" i="5"/>
  <c r="S103" i="4"/>
  <c r="P103" i="4"/>
  <c r="M103" i="4"/>
  <c r="P31" i="3"/>
  <c r="P251" i="2"/>
  <c r="S251" i="2"/>
  <c r="M251" i="2"/>
</calcChain>
</file>

<file path=xl/sharedStrings.xml><?xml version="1.0" encoding="utf-8"?>
<sst xmlns="http://schemas.openxmlformats.org/spreadsheetml/2006/main" count="6975" uniqueCount="839">
  <si>
    <t>Parcel Number</t>
  </si>
  <si>
    <t>Street Address</t>
  </si>
  <si>
    <t>Sale Date</t>
  </si>
  <si>
    <t>Sale Price</t>
  </si>
  <si>
    <t>Instr.</t>
  </si>
  <si>
    <t>Terms of Sale</t>
  </si>
  <si>
    <t>Adj. Sale $</t>
  </si>
  <si>
    <t>Cur. Asmnt.</t>
  </si>
  <si>
    <t>Asd/Adj. Sale</t>
  </si>
  <si>
    <t>Cur. Appraisal</t>
  </si>
  <si>
    <t>Land Residual</t>
  </si>
  <si>
    <t>Est. Land Value</t>
  </si>
  <si>
    <t>Effec. Front</t>
  </si>
  <si>
    <t>Depth</t>
  </si>
  <si>
    <t>Net Acres</t>
  </si>
  <si>
    <t>Total Acres</t>
  </si>
  <si>
    <t>Dollars/FF</t>
  </si>
  <si>
    <t>Dollars/Acre</t>
  </si>
  <si>
    <t>Dollars/SqFt</t>
  </si>
  <si>
    <t>Actual Front</t>
  </si>
  <si>
    <t>ECF Area</t>
  </si>
  <si>
    <t>Liber/Page</t>
  </si>
  <si>
    <t>Other Parcels in Sale</t>
  </si>
  <si>
    <t>Land Table</t>
  </si>
  <si>
    <t>Class</t>
  </si>
  <si>
    <t>080-001-100-050-00</t>
  </si>
  <si>
    <t>7800 WILLIAMS RD</t>
  </si>
  <si>
    <t>WD</t>
  </si>
  <si>
    <t>03-ARM'S LENGTH</t>
  </si>
  <si>
    <t>RUR1</t>
  </si>
  <si>
    <t>3053-0842</t>
  </si>
  <si>
    <t>RURAL RES</t>
  </si>
  <si>
    <t>401</t>
  </si>
  <si>
    <t>080-002-200-057-00</t>
  </si>
  <si>
    <t>7991 WILLIAMS RD</t>
  </si>
  <si>
    <t>3031 0746</t>
  </si>
  <si>
    <t>080-002-200-230-00</t>
  </si>
  <si>
    <t>7537 WILLIAMS RD</t>
  </si>
  <si>
    <t>2996 1127</t>
  </si>
  <si>
    <t>080-002-300-085-00</t>
  </si>
  <si>
    <t>7350 CREYTS RD</t>
  </si>
  <si>
    <t>2963 0985</t>
  </si>
  <si>
    <t>19-MULTI PARCEL ARM'S LENGTH</t>
  </si>
  <si>
    <t>080-050-501-030-00</t>
  </si>
  <si>
    <t>080-002-300-125-00</t>
  </si>
  <si>
    <t>7086 DOVE</t>
  </si>
  <si>
    <t>3060/386</t>
  </si>
  <si>
    <t>RURAL RES WATER</t>
  </si>
  <si>
    <t>080-002-400-140-00</t>
  </si>
  <si>
    <t>7237 WILLIAMS RD</t>
  </si>
  <si>
    <t>3034 0191</t>
  </si>
  <si>
    <t>080-003-400-022-02</t>
  </si>
  <si>
    <t>7405 CREYTS RD</t>
  </si>
  <si>
    <t>3004 0433</t>
  </si>
  <si>
    <t>080-004-300-070-00</t>
  </si>
  <si>
    <t>8129 BILLWOOD HWY</t>
  </si>
  <si>
    <t>3027-1090</t>
  </si>
  <si>
    <t>080-005-100-006-00</t>
  </si>
  <si>
    <t>7894 NIXON RD</t>
  </si>
  <si>
    <t>3049-0108</t>
  </si>
  <si>
    <t>080-005-100-065-00</t>
  </si>
  <si>
    <t>7496 DAVIS HWY</t>
  </si>
  <si>
    <t>3006 0519</t>
  </si>
  <si>
    <t>080-005-300-041-00</t>
  </si>
  <si>
    <t>7304 OAK HWY</t>
  </si>
  <si>
    <t>2930 0925</t>
  </si>
  <si>
    <t>080-006-200-055-00</t>
  </si>
  <si>
    <t>6900 DAVIS HWY</t>
  </si>
  <si>
    <t>2935 0061</t>
  </si>
  <si>
    <t>080-006-200-056-00</t>
  </si>
  <si>
    <t>6790 DAVIS HWY</t>
  </si>
  <si>
    <t>2973 0606</t>
  </si>
  <si>
    <t>080-006-200-140-00</t>
  </si>
  <si>
    <t>7559 NIXON</t>
  </si>
  <si>
    <t>3076/0303</t>
  </si>
  <si>
    <t>080-007-100-001-00</t>
  </si>
  <si>
    <t>6010 BILLWOOD HWY</t>
  </si>
  <si>
    <t>2920 0434</t>
  </si>
  <si>
    <t>080-007-100-005-00</t>
  </si>
  <si>
    <t>080-007-200-055-00</t>
  </si>
  <si>
    <t>6772 BILLWOOD HWY</t>
  </si>
  <si>
    <t>2981 0685</t>
  </si>
  <si>
    <t>080-009-205-061-00</t>
  </si>
  <si>
    <t>6503 NEWS RD</t>
  </si>
  <si>
    <t>CD</t>
  </si>
  <si>
    <t>2999 1261</t>
  </si>
  <si>
    <t>080-010-300-015-00</t>
  </si>
  <si>
    <t>6388 N CANAL RD</t>
  </si>
  <si>
    <t>2958 0209</t>
  </si>
  <si>
    <t>080-010-300-081-00</t>
  </si>
  <si>
    <t>9409 WALNUT HWY</t>
  </si>
  <si>
    <t>2989 1194</t>
  </si>
  <si>
    <t>080-010-400-180-00</t>
  </si>
  <si>
    <t>6070 VALLEY TRL</t>
  </si>
  <si>
    <t>3017 0033</t>
  </si>
  <si>
    <t>080-010-400-185-00</t>
  </si>
  <si>
    <t>6038 VALLEY</t>
  </si>
  <si>
    <t>3061/0736</t>
  </si>
  <si>
    <t>080-011-100-075-00</t>
  </si>
  <si>
    <t>6510 CREYTS RD</t>
  </si>
  <si>
    <t>3044-0292</t>
  </si>
  <si>
    <t>080-011-200-020-00</t>
  </si>
  <si>
    <t>10772 HART HWY</t>
  </si>
  <si>
    <t>2981 1238</t>
  </si>
  <si>
    <t>080-011-200-153-00</t>
  </si>
  <si>
    <t>6559 WILLIAMS RD</t>
  </si>
  <si>
    <t>2920 1060</t>
  </si>
  <si>
    <t>080-012-100-011-00</t>
  </si>
  <si>
    <t>6958 WILLIAMS RD</t>
  </si>
  <si>
    <t>3014 0976</t>
  </si>
  <si>
    <t>080-012-100-100-02</t>
  </si>
  <si>
    <t>BISHOP HWY</t>
  </si>
  <si>
    <t>2986 0868</t>
  </si>
  <si>
    <t>402</t>
  </si>
  <si>
    <t>080-012-300-021-00</t>
  </si>
  <si>
    <t>11090 BISHOP HWY</t>
  </si>
  <si>
    <t>3016 1069</t>
  </si>
  <si>
    <t>080-012-400-060-00</t>
  </si>
  <si>
    <t>11918 BISHOP HWY</t>
  </si>
  <si>
    <t>3034 0120</t>
  </si>
  <si>
    <t>080-014-400-020-02</t>
  </si>
  <si>
    <t>10984 DIMONDALE HWY</t>
  </si>
  <si>
    <t>2937 1189</t>
  </si>
  <si>
    <t>080-015-100-070-00</t>
  </si>
  <si>
    <t>9151 WINDSOR HWY</t>
  </si>
  <si>
    <t>3042-0584</t>
  </si>
  <si>
    <t>080-015-300-085-00</t>
  </si>
  <si>
    <t>9217 BRIDGE HWY</t>
  </si>
  <si>
    <t>2935 1233</t>
  </si>
  <si>
    <t>080-015-400-066-00</t>
  </si>
  <si>
    <t>HOLT HWY</t>
  </si>
  <si>
    <t>2990 0209</t>
  </si>
  <si>
    <t>080-015-400-070-00</t>
  </si>
  <si>
    <t>9998 HOLT HWY</t>
  </si>
  <si>
    <t>3061/1235</t>
  </si>
  <si>
    <t>080-016-200-025-00</t>
  </si>
  <si>
    <t>8613 WINDSOR HWY</t>
  </si>
  <si>
    <t>3003 0934</t>
  </si>
  <si>
    <t>080-016-200-140-00</t>
  </si>
  <si>
    <t>5581 N CANAL RD</t>
  </si>
  <si>
    <t>3052-0434</t>
  </si>
  <si>
    <t>080-016-400-180-01</t>
  </si>
  <si>
    <t>5179 N CANAL RD</t>
  </si>
  <si>
    <t>3043-0210</t>
  </si>
  <si>
    <t>080-017-100-105-00</t>
  </si>
  <si>
    <t>5932 CHUBBY DR</t>
  </si>
  <si>
    <t>3036 1221</t>
  </si>
  <si>
    <t>080-017-100-175-00</t>
  </si>
  <si>
    <t>5515 LANSING</t>
  </si>
  <si>
    <t>2970 0626</t>
  </si>
  <si>
    <t>080-017-200-011-00</t>
  </si>
  <si>
    <t>5897 LANSING RD</t>
  </si>
  <si>
    <t>3035 0884</t>
  </si>
  <si>
    <t>080-017-400-042-00</t>
  </si>
  <si>
    <t>WINDSOR HWY</t>
  </si>
  <si>
    <t>3026 1057</t>
  </si>
  <si>
    <t>080-017-400-086-00</t>
  </si>
  <si>
    <t>5128 N GUNNELL RD</t>
  </si>
  <si>
    <t>2931 0288</t>
  </si>
  <si>
    <t>080-018-100-001-00</t>
  </si>
  <si>
    <t>6032 PINCH HWY</t>
  </si>
  <si>
    <t>3034 0235</t>
  </si>
  <si>
    <t>080-018-100-007-00, 080-018-100-005-00</t>
  </si>
  <si>
    <t>080-018-100-047-00</t>
  </si>
  <si>
    <t>6354 PINCH HWY</t>
  </si>
  <si>
    <t>2996 0500</t>
  </si>
  <si>
    <t>080-018-100-091-00</t>
  </si>
  <si>
    <t>6265 WINDSOR HWY</t>
  </si>
  <si>
    <t>3043-0429</t>
  </si>
  <si>
    <t>080-018-100-150-00</t>
  </si>
  <si>
    <t>2946 0919</t>
  </si>
  <si>
    <t>080-018-300-056-01</t>
  </si>
  <si>
    <t>6150 WINDSOR HWY</t>
  </si>
  <si>
    <t>3045-0623</t>
  </si>
  <si>
    <t>080-018-400-301-00</t>
  </si>
  <si>
    <t>5027 NIXON RD</t>
  </si>
  <si>
    <t>3034 0792</t>
  </si>
  <si>
    <t>080-019-400-006-00</t>
  </si>
  <si>
    <t>OLD POND TRL</t>
  </si>
  <si>
    <t>3062/1243</t>
  </si>
  <si>
    <t>080-020-100-021-00</t>
  </si>
  <si>
    <t>4910 NIXON RD</t>
  </si>
  <si>
    <t>3051-0835</t>
  </si>
  <si>
    <t>080-020-100-120-01</t>
  </si>
  <si>
    <t>4827 N GUNNELL</t>
  </si>
  <si>
    <t>2975 0044</t>
  </si>
  <si>
    <t>080-020-200-040-00</t>
  </si>
  <si>
    <t>4770 N GUNNELL RD</t>
  </si>
  <si>
    <t>3043-0695</t>
  </si>
  <si>
    <t>080-021-300-110-00</t>
  </si>
  <si>
    <t>4066 N GUNNELL RD</t>
  </si>
  <si>
    <t>2921 1074</t>
  </si>
  <si>
    <t>080-022-300-160-00</t>
  </si>
  <si>
    <t>9465 E VERMONTVILLE HWY</t>
  </si>
  <si>
    <t>3017 0115</t>
  </si>
  <si>
    <t>080-022-400-076-00</t>
  </si>
  <si>
    <t>9895 E VERMONTVILLE HWY</t>
  </si>
  <si>
    <t>3013 0908</t>
  </si>
  <si>
    <t>080-023-100-080-00</t>
  </si>
  <si>
    <t>4558 N SMITH RD</t>
  </si>
  <si>
    <t>2972 1152</t>
  </si>
  <si>
    <t>080-023-200-004-00</t>
  </si>
  <si>
    <t>4853 KNAPP ST</t>
  </si>
  <si>
    <t>3044-0280</t>
  </si>
  <si>
    <t>080-023-300-003-00</t>
  </si>
  <si>
    <t>4348 N SMITH RD</t>
  </si>
  <si>
    <t>3068/0577</t>
  </si>
  <si>
    <t>080-023-400-018-00</t>
  </si>
  <si>
    <t>10755 RIVERSIDE DR</t>
  </si>
  <si>
    <t>3047-0219</t>
  </si>
  <si>
    <t>080-023-400-076-00</t>
  </si>
  <si>
    <t>10868 RIVERSIDE DR</t>
  </si>
  <si>
    <t>2967 0632</t>
  </si>
  <si>
    <t>080-023-400-078-00</t>
  </si>
  <si>
    <t>RIVERSIDE DR</t>
  </si>
  <si>
    <t>3043-0735</t>
  </si>
  <si>
    <t>080-024-100-050-00</t>
  </si>
  <si>
    <t>11480 HOLT HWY</t>
  </si>
  <si>
    <t>2969 1148</t>
  </si>
  <si>
    <t>080-024-200-092-00</t>
  </si>
  <si>
    <t>1751 N WAVERLY RD</t>
  </si>
  <si>
    <t>2958 0571</t>
  </si>
  <si>
    <t>080-024-300-025-00</t>
  </si>
  <si>
    <t>4327 BAILEY RD</t>
  </si>
  <si>
    <t>2938 0407</t>
  </si>
  <si>
    <t>080-024-300-030-00</t>
  </si>
  <si>
    <t>4320 BAILEY RD</t>
  </si>
  <si>
    <t>2948 1212</t>
  </si>
  <si>
    <t>080-024-300-034-00</t>
  </si>
  <si>
    <t>080-024-400-070-00</t>
  </si>
  <si>
    <t>11530 JARVIS HWY</t>
  </si>
  <si>
    <t>3025 0697</t>
  </si>
  <si>
    <t>3054-1072</t>
  </si>
  <si>
    <t>080-024-400-076-00</t>
  </si>
  <si>
    <t>11580 JARVIS HWY</t>
  </si>
  <si>
    <t>2945 0765</t>
  </si>
  <si>
    <t>080-024-400-089-00</t>
  </si>
  <si>
    <t>11744 JARVIS HWY</t>
  </si>
  <si>
    <t>3006 0804</t>
  </si>
  <si>
    <t>080-025-300-047-00</t>
  </si>
  <si>
    <t>11442 RANSOM HWY</t>
  </si>
  <si>
    <t>3010 0107</t>
  </si>
  <si>
    <t>080-025-300-090-00</t>
  </si>
  <si>
    <t>3378 N MICHIGAN RD</t>
  </si>
  <si>
    <t>3023 0083</t>
  </si>
  <si>
    <t>080-025-400-019-00</t>
  </si>
  <si>
    <t>11614 RANSOM HWY</t>
  </si>
  <si>
    <t>2966 0263</t>
  </si>
  <si>
    <t>080-025-400-035-00</t>
  </si>
  <si>
    <t>11810 RANSOM HWY</t>
  </si>
  <si>
    <t>2949 0954</t>
  </si>
  <si>
    <t>080-025-400-044-00</t>
  </si>
  <si>
    <t>11976 RANSOM HWY</t>
  </si>
  <si>
    <t>3036 0543</t>
  </si>
  <si>
    <t>080-026-100-039-00</t>
  </si>
  <si>
    <t>SKINNER HWY</t>
  </si>
  <si>
    <t>3012 0443</t>
  </si>
  <si>
    <t>080-026-100-040-00</t>
  </si>
  <si>
    <t>10420 E VERMONTVILLE HWY</t>
  </si>
  <si>
    <t>2921 0861</t>
  </si>
  <si>
    <t>080-027-100-161-00</t>
  </si>
  <si>
    <t>9388 E VERMONTVILLE HWY</t>
  </si>
  <si>
    <t>3008 0186</t>
  </si>
  <si>
    <t>080-027-200-020-00</t>
  </si>
  <si>
    <t>9614 E VERMONTVILLE HWY</t>
  </si>
  <si>
    <t>2952 0216</t>
  </si>
  <si>
    <t>080-027-200-096-00</t>
  </si>
  <si>
    <t>9804 E VERMONTVILLE HWY</t>
  </si>
  <si>
    <t>3009/1099</t>
  </si>
  <si>
    <t>080-028-100-036-00</t>
  </si>
  <si>
    <t>8240 E VERMONTVILLE HWY</t>
  </si>
  <si>
    <t>3012 0972</t>
  </si>
  <si>
    <t>080-029-100-071-00</t>
  </si>
  <si>
    <t>7185 FHANER HWY</t>
  </si>
  <si>
    <t>2952 1163</t>
  </si>
  <si>
    <t>080-029-100-150-02</t>
  </si>
  <si>
    <t>7120 E VERMONTVILLE HWY</t>
  </si>
  <si>
    <t>3014 1287</t>
  </si>
  <si>
    <t>080-029-300-110-00</t>
  </si>
  <si>
    <t>7349 ROSSMAN HWY</t>
  </si>
  <si>
    <t>2970 0724</t>
  </si>
  <si>
    <t>080-029-400-080-00</t>
  </si>
  <si>
    <t>7777 ROSSMAN HWY</t>
  </si>
  <si>
    <t>3019 0240</t>
  </si>
  <si>
    <t>080-030-100-020-00</t>
  </si>
  <si>
    <t>6232 E VERMONTVILLE</t>
  </si>
  <si>
    <t>2964 0899</t>
  </si>
  <si>
    <t>080-030-200-030-00</t>
  </si>
  <si>
    <t>3760 NIXON RD</t>
  </si>
  <si>
    <t>3004 0202</t>
  </si>
  <si>
    <t>080-030-300-040-00</t>
  </si>
  <si>
    <t>3116 N ROYSTON RD</t>
  </si>
  <si>
    <t>2979 1078</t>
  </si>
  <si>
    <t>080-030-400-035-00</t>
  </si>
  <si>
    <t>3420 NIXON RD</t>
  </si>
  <si>
    <t>2972 1172</t>
  </si>
  <si>
    <t>080-030-400-050-00</t>
  </si>
  <si>
    <t>3236 NIXON RD</t>
  </si>
  <si>
    <t>2936 0052</t>
  </si>
  <si>
    <t>080-031-200-060-00</t>
  </si>
  <si>
    <t>2822 PRAY RD</t>
  </si>
  <si>
    <t>2955 1249</t>
  </si>
  <si>
    <t>080-031-300-100-00</t>
  </si>
  <si>
    <t>2027 PRAY RD</t>
  </si>
  <si>
    <t>3028 1252</t>
  </si>
  <si>
    <t>080-031-400-052-00</t>
  </si>
  <si>
    <t>2146 PRAY RD</t>
  </si>
  <si>
    <t>2952 0019</t>
  </si>
  <si>
    <t>080-032-100-001-00</t>
  </si>
  <si>
    <t>7042 ROSSMAN HWY</t>
  </si>
  <si>
    <t>3049-0535</t>
  </si>
  <si>
    <t>080-032-400-010-00</t>
  </si>
  <si>
    <t>2459 N GUNNELL RD</t>
  </si>
  <si>
    <t>3044-0187</t>
  </si>
  <si>
    <t>080-033-100-021-00</t>
  </si>
  <si>
    <t>8160 ROSSMAN HWY</t>
  </si>
  <si>
    <t>2936 536</t>
  </si>
  <si>
    <t>080-033-100-100-00</t>
  </si>
  <si>
    <t>2678 N GUNNELL RD</t>
  </si>
  <si>
    <t>3018 0074</t>
  </si>
  <si>
    <t>080-033-100-125-00</t>
  </si>
  <si>
    <t>8109 STUB HWY</t>
  </si>
  <si>
    <t>2922 1105</t>
  </si>
  <si>
    <t>080-033-200-060-00</t>
  </si>
  <si>
    <t>8912 ROSSMAN HWY</t>
  </si>
  <si>
    <t>3010 0467</t>
  </si>
  <si>
    <t>080-034-100-030-00</t>
  </si>
  <si>
    <t>9228 ROSSMAN HWY</t>
  </si>
  <si>
    <t>2989 0403</t>
  </si>
  <si>
    <t>080-034-300-003-01</t>
  </si>
  <si>
    <t>N CANAL</t>
  </si>
  <si>
    <t>3058/1117</t>
  </si>
  <si>
    <t>080-034-400-047-00</t>
  </si>
  <si>
    <t>2375 N SMITH RD</t>
  </si>
  <si>
    <t>2966 0834</t>
  </si>
  <si>
    <t>080-035-400-061-00</t>
  </si>
  <si>
    <t>2205 N MICHIGAN RD</t>
  </si>
  <si>
    <t>3035 0452</t>
  </si>
  <si>
    <t>080-036-200-056-00</t>
  </si>
  <si>
    <t>905 N WAVERLY RD</t>
  </si>
  <si>
    <t>LC</t>
  </si>
  <si>
    <t>3006 0599</t>
  </si>
  <si>
    <t>080-036-300-119-00</t>
  </si>
  <si>
    <t>11239 WILBUR HWY</t>
  </si>
  <si>
    <t>2933 0928</t>
  </si>
  <si>
    <t>080-042-000-001-00</t>
  </si>
  <si>
    <t>9925 BROOKS RIVER DR</t>
  </si>
  <si>
    <t>SUB3</t>
  </si>
  <si>
    <t>3035 0019</t>
  </si>
  <si>
    <t>081-010-400-136-03, 081-010-400-136-04</t>
  </si>
  <si>
    <t>SUBDIVISION- MODERN</t>
  </si>
  <si>
    <t>080-042-000-015-00</t>
  </si>
  <si>
    <t>6067 LIMESTONE LN</t>
  </si>
  <si>
    <t>3066/0183</t>
  </si>
  <si>
    <t>080-043-500-981-00</t>
  </si>
  <si>
    <t>4136 BRIDGEPORT DR</t>
  </si>
  <si>
    <t>SUB2</t>
  </si>
  <si>
    <t>3019 0502</t>
  </si>
  <si>
    <t>PRE-MODERN SUB</t>
  </si>
  <si>
    <t>080-043-501-100-00</t>
  </si>
  <si>
    <t>4119 BRIDGEPORT DR</t>
  </si>
  <si>
    <t>3049-0094</t>
  </si>
  <si>
    <t>080-045-000-020-00</t>
  </si>
  <si>
    <t>5157 MIRAGE CIR</t>
  </si>
  <si>
    <t>2937 0489</t>
  </si>
  <si>
    <t>080-045-000-040-00</t>
  </si>
  <si>
    <t>10053 DEBLIND CIR</t>
  </si>
  <si>
    <t>3044-0806</t>
  </si>
  <si>
    <t>080-045-000-090-00</t>
  </si>
  <si>
    <t>10108 DEBLIND CIR</t>
  </si>
  <si>
    <t>3062/1246</t>
  </si>
  <si>
    <t>080-045-000-150-00</t>
  </si>
  <si>
    <t>5205 MIRAGE CIR</t>
  </si>
  <si>
    <t>3009 1223</t>
  </si>
  <si>
    <t>080-045-000-250-00</t>
  </si>
  <si>
    <t>5365 MIRAGE CIR</t>
  </si>
  <si>
    <t>2933 0287</t>
  </si>
  <si>
    <t>080-045-000-260-00</t>
  </si>
  <si>
    <t>5383 MIRAGE CIR</t>
  </si>
  <si>
    <t>2925 0289</t>
  </si>
  <si>
    <t>080-045-000-350-00</t>
  </si>
  <si>
    <t>10083 ROBLYN CIR</t>
  </si>
  <si>
    <t>2968 0178</t>
  </si>
  <si>
    <t>3006 0734</t>
  </si>
  <si>
    <t>080-045-000-380-00</t>
  </si>
  <si>
    <t>10114 ROBLYN CIR</t>
  </si>
  <si>
    <t>3050-1188</t>
  </si>
  <si>
    <t>SUB1</t>
  </si>
  <si>
    <t>RURAL SUB</t>
  </si>
  <si>
    <t>080-048-600-060-00</t>
  </si>
  <si>
    <t>11800 HOLT HWY</t>
  </si>
  <si>
    <t>2976 1016</t>
  </si>
  <si>
    <t>080-050-000-080-00</t>
  </si>
  <si>
    <t>4933 KNAPP ST</t>
  </si>
  <si>
    <t>3022 1259</t>
  </si>
  <si>
    <t>080-050-000-100-00</t>
  </si>
  <si>
    <t>4897 KNAPP ST</t>
  </si>
  <si>
    <t>2925 0683</t>
  </si>
  <si>
    <t>080-050-000-140-00</t>
  </si>
  <si>
    <t>4920 KNAPP</t>
  </si>
  <si>
    <t>3064/0149</t>
  </si>
  <si>
    <t>080-050-000-160-00</t>
  </si>
  <si>
    <t>4937 HUDSON ST</t>
  </si>
  <si>
    <t>2959 0554</t>
  </si>
  <si>
    <t>3061/0642</t>
  </si>
  <si>
    <t>080-050-500-010-00</t>
  </si>
  <si>
    <t>10014 BURGUNDY BLVD</t>
  </si>
  <si>
    <t>3040-0811</t>
  </si>
  <si>
    <t>080-050-500-190-00</t>
  </si>
  <si>
    <t>10189 BARON BLVD</t>
  </si>
  <si>
    <t>3038-1224</t>
  </si>
  <si>
    <t>080-050-500-370-00</t>
  </si>
  <si>
    <t>10209 BURGUNDY BLVD</t>
  </si>
  <si>
    <t>2965 0008</t>
  </si>
  <si>
    <t>080-050-500-410-00</t>
  </si>
  <si>
    <t>10143 BURGUNDY BLVD</t>
  </si>
  <si>
    <t>2990 1183</t>
  </si>
  <si>
    <t>080-050-500-450-00</t>
  </si>
  <si>
    <t>7305 DUPRE AVE</t>
  </si>
  <si>
    <t>2943 0304</t>
  </si>
  <si>
    <t>080-050-500-470-00</t>
  </si>
  <si>
    <t>10015 BURGUNDY BLVD</t>
  </si>
  <si>
    <t>3012 0572</t>
  </si>
  <si>
    <t>080-050-500-480-00</t>
  </si>
  <si>
    <t>10088 LAFAYETTE LN</t>
  </si>
  <si>
    <t>3019 0949</t>
  </si>
  <si>
    <t>080-050-500-520-00</t>
  </si>
  <si>
    <t>10156 LAFAYETTE LN</t>
  </si>
  <si>
    <t>2938 0521</t>
  </si>
  <si>
    <t>080-050-500-590-00</t>
  </si>
  <si>
    <t>10270 LAFAYETTE LN</t>
  </si>
  <si>
    <t>2930 0287</t>
  </si>
  <si>
    <t>080-050-500-610-00</t>
  </si>
  <si>
    <t>10300 LAFAYETTE LN</t>
  </si>
  <si>
    <t>2961 0913</t>
  </si>
  <si>
    <t>080-050-500-630-00</t>
  </si>
  <si>
    <t>10320 LAFAYETTE LN</t>
  </si>
  <si>
    <t>2935 0815</t>
  </si>
  <si>
    <t>080-050-500-750-00</t>
  </si>
  <si>
    <t>10335 LAFAYETTE LN</t>
  </si>
  <si>
    <t>2970 0735</t>
  </si>
  <si>
    <t>080-051-800-040-00</t>
  </si>
  <si>
    <t>6764 E GALWAY CIR</t>
  </si>
  <si>
    <t>3012 0920</t>
  </si>
  <si>
    <t>SUBDIVISION- MODERN WATER</t>
  </si>
  <si>
    <t>3061/0133</t>
  </si>
  <si>
    <t>080-051-800-060-00</t>
  </si>
  <si>
    <t>6724 E GALWAY CIR</t>
  </si>
  <si>
    <t>2938 0809</t>
  </si>
  <si>
    <t>080-051-800-370-00</t>
  </si>
  <si>
    <t>6608 ABERDEEN DR</t>
  </si>
  <si>
    <t>2972 0374</t>
  </si>
  <si>
    <t>080-051-800-440-01</t>
  </si>
  <si>
    <t>6720 ABERDEEN DR</t>
  </si>
  <si>
    <t>2933 0846</t>
  </si>
  <si>
    <t>080-051-800-630-00</t>
  </si>
  <si>
    <t>6679 E GALWAY CIR</t>
  </si>
  <si>
    <t>3017 0757</t>
  </si>
  <si>
    <t>080-052-000-020-00</t>
  </si>
  <si>
    <t>6838 W GALWAY CIR</t>
  </si>
  <si>
    <t>3023 1133</t>
  </si>
  <si>
    <t>080-052-600-006-00</t>
  </si>
  <si>
    <t>6939 W GALWAY CIR</t>
  </si>
  <si>
    <t>2980 0906</t>
  </si>
  <si>
    <t>3036 0909</t>
  </si>
  <si>
    <t>080-055-000-040-00</t>
  </si>
  <si>
    <t>8923 JACARANDA DR</t>
  </si>
  <si>
    <t>2949 250</t>
  </si>
  <si>
    <t>3045-0492</t>
  </si>
  <si>
    <t>080-055-000-270-00</t>
  </si>
  <si>
    <t>8644 JACARANDA DR</t>
  </si>
  <si>
    <t>2979 0782</t>
  </si>
  <si>
    <t>080-055-000-350-00</t>
  </si>
  <si>
    <t>8796 JACARANDA DR</t>
  </si>
  <si>
    <t>3007 0428</t>
  </si>
  <si>
    <t>080-055-000-500-00</t>
  </si>
  <si>
    <t>6374 MACADAM WAY</t>
  </si>
  <si>
    <t>3010 0911</t>
  </si>
  <si>
    <t>080-055-000-510-00</t>
  </si>
  <si>
    <t>6360 MACADAM WAY</t>
  </si>
  <si>
    <t>2949 0591</t>
  </si>
  <si>
    <t>080-055-000-620-00</t>
  </si>
  <si>
    <t>8890 MATTRADA DR</t>
  </si>
  <si>
    <t>2935 0759</t>
  </si>
  <si>
    <t>080-055-000-670-00</t>
  </si>
  <si>
    <t>8792 MATTRADA DR</t>
  </si>
  <si>
    <t>3062/1210</t>
  </si>
  <si>
    <t>080-055-000-770-00</t>
  </si>
  <si>
    <t>8803 JUSTONIAN WAY</t>
  </si>
  <si>
    <t>2990 0260</t>
  </si>
  <si>
    <t>080-055-000-880-00</t>
  </si>
  <si>
    <t>6373 MACADAM WAY</t>
  </si>
  <si>
    <t>3007 0516</t>
  </si>
  <si>
    <t>080-055-000-890-00</t>
  </si>
  <si>
    <t>6357 MACADAM WAY</t>
  </si>
  <si>
    <t>3052-0776</t>
  </si>
  <si>
    <t>080-055-000-950-00</t>
  </si>
  <si>
    <t>8889 MATTRADA DR</t>
  </si>
  <si>
    <t>3024 0923</t>
  </si>
  <si>
    <t>080-055-000-980-00</t>
  </si>
  <si>
    <t>6348 ELLISTONE CIR</t>
  </si>
  <si>
    <t>3016 0420</t>
  </si>
  <si>
    <t>080-055-001-030-00</t>
  </si>
  <si>
    <t>8839 MATTRADA DR</t>
  </si>
  <si>
    <t>3041-0277</t>
  </si>
  <si>
    <t>080-055-001-040-00</t>
  </si>
  <si>
    <t>8827 MATTRADA</t>
  </si>
  <si>
    <t>3011 0082</t>
  </si>
  <si>
    <t>080-055-001-130-00</t>
  </si>
  <si>
    <t>8900 JUSTONIAN WAY</t>
  </si>
  <si>
    <t>2987 1186</t>
  </si>
  <si>
    <t>080-055-001-310-00</t>
  </si>
  <si>
    <t>6247 BARBADOS WAY</t>
  </si>
  <si>
    <t>2931 0652</t>
  </si>
  <si>
    <t>080-055-001-390-00</t>
  </si>
  <si>
    <t>6254 BARBADOS WAY</t>
  </si>
  <si>
    <t>2968 1015</t>
  </si>
  <si>
    <t>080-055-001-500-00</t>
  </si>
  <si>
    <t>8740 ADKRIS DR</t>
  </si>
  <si>
    <t>2973 1267</t>
  </si>
  <si>
    <t>080-056-000-003-00</t>
  </si>
  <si>
    <t>8686 IRONSTONE DR</t>
  </si>
  <si>
    <t>2933 1008</t>
  </si>
  <si>
    <t>080-056-000-010-00</t>
  </si>
  <si>
    <t>IRONSTONE</t>
  </si>
  <si>
    <t>3014 0058</t>
  </si>
  <si>
    <t>080-067-000-080-00</t>
  </si>
  <si>
    <t>4658 AMBER LN</t>
  </si>
  <si>
    <t>3024 0648</t>
  </si>
  <si>
    <t>080-073-600-071-00</t>
  </si>
  <si>
    <t>4644 N MICHIGAN RD</t>
  </si>
  <si>
    <t>2953 0838</t>
  </si>
  <si>
    <t>080-073-600-100-00</t>
  </si>
  <si>
    <t>4632 N MICHIGAN RD</t>
  </si>
  <si>
    <t>3001 0882</t>
  </si>
  <si>
    <t>080-073-600-130-00</t>
  </si>
  <si>
    <t>4578 N MICHIGAN RD</t>
  </si>
  <si>
    <t>2979 0217\</t>
  </si>
  <si>
    <t>080-073-800-003-00</t>
  </si>
  <si>
    <t>10141 RIVER ROCK BLVD</t>
  </si>
  <si>
    <t>3040-0440</t>
  </si>
  <si>
    <t>080-073-800-017-00</t>
  </si>
  <si>
    <t>10425 RIVER ROCK BLVD</t>
  </si>
  <si>
    <t>3020 0784</t>
  </si>
  <si>
    <t>080-073-800-028-00</t>
  </si>
  <si>
    <t>10270 ROCK HOLLOW LN</t>
  </si>
  <si>
    <t>2938 0389</t>
  </si>
  <si>
    <t>080-073-800-029-00</t>
  </si>
  <si>
    <t>10262 RIVER ROCK BLVD</t>
  </si>
  <si>
    <t>3055-705</t>
  </si>
  <si>
    <t>080-073-900-250-00</t>
  </si>
  <si>
    <t>DIMOND WAY</t>
  </si>
  <si>
    <t>2992 0344</t>
  </si>
  <si>
    <t>080-073-900-290-00</t>
  </si>
  <si>
    <t>4509 DIMOND WAY</t>
  </si>
  <si>
    <t>2948 1056</t>
  </si>
  <si>
    <t>080-075-600-030-00</t>
  </si>
  <si>
    <t>5301 BAILEY RD</t>
  </si>
  <si>
    <t>2963 1094</t>
  </si>
  <si>
    <t>080-075-600-141-00</t>
  </si>
  <si>
    <t>5400 N MICHIGAN RD</t>
  </si>
  <si>
    <t>2950 0007</t>
  </si>
  <si>
    <t>080-079-000-020-00</t>
  </si>
  <si>
    <t>4105 N SMITH RD</t>
  </si>
  <si>
    <t>2957 1257</t>
  </si>
  <si>
    <t>080-080-600-030-00</t>
  </si>
  <si>
    <t>6398 VALLEY TRL</t>
  </si>
  <si>
    <t>3064/0904</t>
  </si>
  <si>
    <t>080-010-400-021-00</t>
  </si>
  <si>
    <t>080-081-500-120-00</t>
  </si>
  <si>
    <t>6093 ANCHOR COVE</t>
  </si>
  <si>
    <t>3060/0904</t>
  </si>
  <si>
    <t>080-085-600-070-00</t>
  </si>
  <si>
    <t>7227 PATS DR</t>
  </si>
  <si>
    <t>3051-620</t>
  </si>
  <si>
    <t>080-085-600-310-00</t>
  </si>
  <si>
    <t>7382 PATS DR</t>
  </si>
  <si>
    <t>2251/330</t>
  </si>
  <si>
    <t>2999 0733</t>
  </si>
  <si>
    <t>080-087-600-020-00</t>
  </si>
  <si>
    <t>9955 DONEGAL DR</t>
  </si>
  <si>
    <t>3052-0856</t>
  </si>
  <si>
    <t>080-087-600-050-00</t>
  </si>
  <si>
    <t>6720 LANSDOWN DR</t>
  </si>
  <si>
    <t>3018 0274</t>
  </si>
  <si>
    <t>080-087-600-060-00</t>
  </si>
  <si>
    <t>6740 LANSDOWN DR</t>
  </si>
  <si>
    <t>11-FROM LENDING INSTITUTION EXPOSED</t>
  </si>
  <si>
    <t>3001 0652</t>
  </si>
  <si>
    <t>080-087-600-100-00</t>
  </si>
  <si>
    <t>6820 LANSDOWN DR</t>
  </si>
  <si>
    <t>3034 0409</t>
  </si>
  <si>
    <t>080-087-600-140-00</t>
  </si>
  <si>
    <t>6795 LANSDOWN DR</t>
  </si>
  <si>
    <t>2999 0432</t>
  </si>
  <si>
    <t>080-087-600-390-00</t>
  </si>
  <si>
    <t>6520 LANSDOWN DR</t>
  </si>
  <si>
    <t>2940 0774</t>
  </si>
  <si>
    <t>080-087-600-470-00</t>
  </si>
  <si>
    <t>6530 CHESHIRE DR</t>
  </si>
  <si>
    <t>2958 0592</t>
  </si>
  <si>
    <t>080-087-600-520-00</t>
  </si>
  <si>
    <t>6535 CREYTS RD</t>
  </si>
  <si>
    <t>2925 0814</t>
  </si>
  <si>
    <t>080-087-600-540-00</t>
  </si>
  <si>
    <t>6495 CREYTS RD</t>
  </si>
  <si>
    <t>2926 0399</t>
  </si>
  <si>
    <t>080-087-600-580-00</t>
  </si>
  <si>
    <t>6415 CREYTS RD</t>
  </si>
  <si>
    <t>2958 0354</t>
  </si>
  <si>
    <t>080-088-600-091-00</t>
  </si>
  <si>
    <t>8867 WINDSOR HWY</t>
  </si>
  <si>
    <t>2977 0661</t>
  </si>
  <si>
    <t>081-000-603-152-00</t>
  </si>
  <si>
    <t>399 WALNUT ST</t>
  </si>
  <si>
    <t>VILPR</t>
  </si>
  <si>
    <t>2948 1104</t>
  </si>
  <si>
    <t>VILLAGE ALT RESIDENTIAL</t>
  </si>
  <si>
    <t>081-000-607-070-00</t>
  </si>
  <si>
    <t>472 E JEFFERSON ST</t>
  </si>
  <si>
    <t>PTA</t>
  </si>
  <si>
    <t>081-000-607-066-00</t>
  </si>
  <si>
    <t>081-000-613-040-00</t>
  </si>
  <si>
    <t>225 E HAMILTON ST</t>
  </si>
  <si>
    <t>3032 0758</t>
  </si>
  <si>
    <t>TRADITIONAL VILLAGE</t>
  </si>
  <si>
    <t>081-000-615-070-00</t>
  </si>
  <si>
    <t>354 S BRIDGE ST</t>
  </si>
  <si>
    <t>3033 1001</t>
  </si>
  <si>
    <t>081-000-615-140-00</t>
  </si>
  <si>
    <t>123 W JEFFERSON ST</t>
  </si>
  <si>
    <t>2964 0896</t>
  </si>
  <si>
    <t>081-000-615-160-00</t>
  </si>
  <si>
    <t>139 W JEFFERSON ST</t>
  </si>
  <si>
    <t>3006 0202</t>
  </si>
  <si>
    <t>081-000-617-120-00</t>
  </si>
  <si>
    <t>320 WALNUT ST</t>
  </si>
  <si>
    <t>3011 0767</t>
  </si>
  <si>
    <t>081-000-619-140-00</t>
  </si>
  <si>
    <t>223 W QUINCY ST</t>
  </si>
  <si>
    <t>3032 0652</t>
  </si>
  <si>
    <t>081-000-620-090-00</t>
  </si>
  <si>
    <t>140 PINE ST</t>
  </si>
  <si>
    <t>2981 1060</t>
  </si>
  <si>
    <t>081-000-620-150-00</t>
  </si>
  <si>
    <t>131 W QUINCY ST</t>
  </si>
  <si>
    <t>3019 0325</t>
  </si>
  <si>
    <t>081-000-622-020-00</t>
  </si>
  <si>
    <t>231 E WASHINGTON ST</t>
  </si>
  <si>
    <t>2958 0036</t>
  </si>
  <si>
    <t>081-000-622-025-00</t>
  </si>
  <si>
    <t>3056-957</t>
  </si>
  <si>
    <t>081-000-622-061-00</t>
  </si>
  <si>
    <t>136 CHERRY ST</t>
  </si>
  <si>
    <t>2933 0829</t>
  </si>
  <si>
    <t>081-000-622-150-00</t>
  </si>
  <si>
    <t>164 CHERRY ST</t>
  </si>
  <si>
    <t>3044-0908</t>
  </si>
  <si>
    <t>3053-0644</t>
  </si>
  <si>
    <t>081-000-629-040-00</t>
  </si>
  <si>
    <t>215 E QUINCY ST</t>
  </si>
  <si>
    <t>081-000-629-050-00</t>
  </si>
  <si>
    <t>205 E QUINCY ST</t>
  </si>
  <si>
    <t>081-000-634-015-00</t>
  </si>
  <si>
    <t>216 W JEFFERSON ST</t>
  </si>
  <si>
    <t>3013 1287</t>
  </si>
  <si>
    <t>081-000-636-070-00</t>
  </si>
  <si>
    <t>245 S BRIDGE ST</t>
  </si>
  <si>
    <t>3006 0799</t>
  </si>
  <si>
    <t>TRADITIONAL VILL WATER</t>
  </si>
  <si>
    <t>VILLAGE ALT RES WATER</t>
  </si>
  <si>
    <t>081-000-645-030-00</t>
  </si>
  <si>
    <t>121 W WASHINGTON ST</t>
  </si>
  <si>
    <t>3042/719</t>
  </si>
  <si>
    <t>081-010-400-142-00</t>
  </si>
  <si>
    <t>745 CREYTS RD</t>
  </si>
  <si>
    <t>2973 0769</t>
  </si>
  <si>
    <t>081-014-100-001-00</t>
  </si>
  <si>
    <t>666 CREYTS RD</t>
  </si>
  <si>
    <t>3030 0080</t>
  </si>
  <si>
    <t>081-014-100-073-00</t>
  </si>
  <si>
    <t>464 CREYTS RD</t>
  </si>
  <si>
    <t>3026 0103</t>
  </si>
  <si>
    <t>081-015-200-099-02</t>
  </si>
  <si>
    <t>609 CREYTS RD</t>
  </si>
  <si>
    <t>2919 0554</t>
  </si>
  <si>
    <t>081-015-200-123-00</t>
  </si>
  <si>
    <t>571 CREYTS RD</t>
  </si>
  <si>
    <t>2922 0468</t>
  </si>
  <si>
    <t>3050-0714</t>
  </si>
  <si>
    <t>081-015-200-140-00</t>
  </si>
  <si>
    <t>561 CREYTS RD</t>
  </si>
  <si>
    <t>2937 0413</t>
  </si>
  <si>
    <t>081-041-600-050-00</t>
  </si>
  <si>
    <t>442 E WASHINGTON ST</t>
  </si>
  <si>
    <t>2982 1143</t>
  </si>
  <si>
    <t>081-041-600-070-00</t>
  </si>
  <si>
    <t>081-041-600-170-00</t>
  </si>
  <si>
    <t>435 E WASHINGTON ST</t>
  </si>
  <si>
    <t>3052-0533</t>
  </si>
  <si>
    <t>081-041-600-240-00</t>
  </si>
  <si>
    <t>148 HOEHN CT</t>
  </si>
  <si>
    <t>2976 1005</t>
  </si>
  <si>
    <t>081-041-600-270-00</t>
  </si>
  <si>
    <t>191 HOEHN CT</t>
  </si>
  <si>
    <t>3024 0075</t>
  </si>
  <si>
    <t>081-041-600-360-00</t>
  </si>
  <si>
    <t>168 HOEHN CT</t>
  </si>
  <si>
    <t>3017 0999</t>
  </si>
  <si>
    <t>081-042-000-010-17</t>
  </si>
  <si>
    <t>CREYTS RD</t>
  </si>
  <si>
    <t>MLC</t>
  </si>
  <si>
    <t>2942 1252</t>
  </si>
  <si>
    <t>081-042-000-160-00</t>
  </si>
  <si>
    <t>253 N BRIDGE ST</t>
  </si>
  <si>
    <t>2975 0562</t>
  </si>
  <si>
    <t>081-042-000-350-00</t>
  </si>
  <si>
    <t>230 W QUINCY ST</t>
  </si>
  <si>
    <t>2963 0846</t>
  </si>
  <si>
    <t>081-042-000-590-00</t>
  </si>
  <si>
    <t>304 PINE ST</t>
  </si>
  <si>
    <t>3007 1095</t>
  </si>
  <si>
    <t>081-050-000-030-00</t>
  </si>
  <si>
    <t>340 TANBARK DR</t>
  </si>
  <si>
    <t>2987 0247</t>
  </si>
  <si>
    <t>3031 0803</t>
  </si>
  <si>
    <t>081-050-000-060-00</t>
  </si>
  <si>
    <t>360 TANBARK DR</t>
  </si>
  <si>
    <t>3058/879</t>
  </si>
  <si>
    <t>081-050-000-070-00</t>
  </si>
  <si>
    <t>366 TANBARK DR</t>
  </si>
  <si>
    <t>3025 0028</t>
  </si>
  <si>
    <t>081-050-000-140-00</t>
  </si>
  <si>
    <t>432 WINDROCK LN</t>
  </si>
  <si>
    <t>3054-0211</t>
  </si>
  <si>
    <t>081-050-000-380-00</t>
  </si>
  <si>
    <t>375 TANBARK DR</t>
  </si>
  <si>
    <t>2965 0053</t>
  </si>
  <si>
    <t>081-050-000-421-00</t>
  </si>
  <si>
    <t>347 TANBARK DR</t>
  </si>
  <si>
    <t>2962 0203</t>
  </si>
  <si>
    <t>081-050-000-520-00</t>
  </si>
  <si>
    <t>730 TANBARK DR</t>
  </si>
  <si>
    <t>2987 0841</t>
  </si>
  <si>
    <t>081-050-000-530-00</t>
  </si>
  <si>
    <t>736 TANBARK DR</t>
  </si>
  <si>
    <t>3051-1283</t>
  </si>
  <si>
    <t>081-050-000-540-00</t>
  </si>
  <si>
    <t>742 TANBARK DR</t>
  </si>
  <si>
    <t>3035 0599</t>
  </si>
  <si>
    <t>081-050-000-550-00</t>
  </si>
  <si>
    <t>746 TANBARK DR</t>
  </si>
  <si>
    <t>3041-0066</t>
  </si>
  <si>
    <t>3053-1268</t>
  </si>
  <si>
    <t>081-050-000-561-00</t>
  </si>
  <si>
    <t>750 TANBARK DR</t>
  </si>
  <si>
    <t>2992 1188</t>
  </si>
  <si>
    <t>081-050-000-671-00</t>
  </si>
  <si>
    <t>797 TANBARK DR</t>
  </si>
  <si>
    <t>2942 0381</t>
  </si>
  <si>
    <t>081-050-000-800-00</t>
  </si>
  <si>
    <t>337 CROSSWIND DR</t>
  </si>
  <si>
    <t>3008 0261</t>
  </si>
  <si>
    <t>081-070-000-003-00</t>
  </si>
  <si>
    <t>324 SHELBY LN</t>
  </si>
  <si>
    <t>2984 0157</t>
  </si>
  <si>
    <t>081-080-000-130-00</t>
  </si>
  <si>
    <t>345 NUTMEG DR</t>
  </si>
  <si>
    <t>3045-0214</t>
  </si>
  <si>
    <t>Totals:</t>
  </si>
  <si>
    <t>Sale. Ratio =&gt;</t>
  </si>
  <si>
    <t>Average</t>
  </si>
  <si>
    <t>Std. Dev. =&gt;</t>
  </si>
  <si>
    <t>per FF=&gt;</t>
  </si>
  <si>
    <t>per Net Acre=&gt;</t>
  </si>
  <si>
    <t>per SqFt=&gt;</t>
  </si>
  <si>
    <t>PRE-MODERN SUBDIVISION</t>
  </si>
  <si>
    <t>VALUE BY NEIGHBORHOOD AND LOT</t>
  </si>
  <si>
    <t>GRAND POINTE (080-050-500,</t>
  </si>
  <si>
    <t>WILLIAMS HOMESTEAD (081-080-000</t>
  </si>
  <si>
    <t xml:space="preserve">WINDSOR MANOR (080-088-600, </t>
  </si>
  <si>
    <t>GRAND DALE (080-050-000)</t>
  </si>
  <si>
    <t>OTHER</t>
  </si>
  <si>
    <t>PRIOR YEAR:</t>
  </si>
  <si>
    <t>USED:</t>
  </si>
  <si>
    <t>Site</t>
  </si>
  <si>
    <t>per Site=&gt;</t>
  </si>
  <si>
    <t>per Site Acre=&gt;</t>
  </si>
  <si>
    <t>MODERN SUBDIVISION</t>
  </si>
  <si>
    <t>DIMONDALE FARMS (080-045)</t>
  </si>
  <si>
    <t>BROOKS RIVER</t>
  </si>
  <si>
    <t>WATER</t>
  </si>
  <si>
    <t>HILL 'N HOLLOW (080-051, 052)</t>
  </si>
  <si>
    <t>HILL 'N HOLLOW WATER (080-051, 052)</t>
  </si>
  <si>
    <t>NO WATER</t>
  </si>
  <si>
    <t>INDICATED</t>
  </si>
  <si>
    <t>MULTIPLIER</t>
  </si>
  <si>
    <t>JACARANDA (080-055)</t>
  </si>
  <si>
    <t>RIVER ROCK (080-073-800) WATER ANALYSIS</t>
  </si>
  <si>
    <t>RIVER ROCK (080-073-800)</t>
  </si>
  <si>
    <t>WINDSOR GLEN (080-087-600)</t>
  </si>
  <si>
    <t>DIMONDALE ESTATES (081-050)</t>
  </si>
  <si>
    <t>TRADITIONAL VILLAGE LOT</t>
  </si>
  <si>
    <t>VALUE BY NEIGHBORHOOD AND FRONT FOOT</t>
  </si>
  <si>
    <t>0 to 1-acre</t>
  </si>
  <si>
    <t>1 to 1.5-acres</t>
  </si>
  <si>
    <t>1.5 to 2-acres</t>
  </si>
  <si>
    <t>2 to 2.5-acres</t>
  </si>
  <si>
    <t>2.5 to 3-acres</t>
  </si>
  <si>
    <t>3 to 4-acres</t>
  </si>
  <si>
    <t>4 to 5-acres</t>
  </si>
  <si>
    <t>5 to 7-acres</t>
  </si>
  <si>
    <t>7 to 10-acres</t>
  </si>
  <si>
    <t>10 to 15-acres</t>
  </si>
  <si>
    <t>15 to 20-acres</t>
  </si>
  <si>
    <t>20 to 25-acres</t>
  </si>
  <si>
    <t>25 to 30-acres</t>
  </si>
  <si>
    <t>No Data</t>
  </si>
  <si>
    <t>30 to 40-acres</t>
  </si>
  <si>
    <t>40 to 50-acres</t>
  </si>
  <si>
    <t>50 to 100-acres</t>
  </si>
  <si>
    <t>100 plus acres</t>
  </si>
  <si>
    <t>DESCRIPTION:</t>
  </si>
  <si>
    <t>ACRES</t>
  </si>
  <si>
    <t>INDICATED $ PER ACRE</t>
  </si>
  <si>
    <t>INDICATED VALUE</t>
  </si>
  <si>
    <t>DETER $ PER ACRE</t>
  </si>
  <si>
    <t>DETERMINED VALUE</t>
  </si>
  <si>
    <t>PRIOR YEAR</t>
  </si>
  <si>
    <t>V= VERIFIED FROM DATA</t>
  </si>
  <si>
    <t>EX= EXTRAPOLATED FROM CURVE</t>
  </si>
  <si>
    <t>M= MODIFICATION OF VERIFIED DATA TO CURVE</t>
  </si>
  <si>
    <t>$ PER ACRE</t>
  </si>
  <si>
    <t>VALUE</t>
  </si>
  <si>
    <t>$ PER AC</t>
  </si>
  <si>
    <t>RURAL RESIDENTIAL &amp; VILLAGE ALT</t>
  </si>
  <si>
    <t>RURAL RESIDENTIAL &amp; VILLAGE ALT WATER</t>
  </si>
  <si>
    <t>RIVER RUN (080-073-900) WATER ANALYSIS</t>
  </si>
  <si>
    <t>SHELBY ESTATES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</si>
</sst>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#0.00_);[Red]\(#0.00\)"/>
    <numFmt numFmtId="165" formatCode="mm/dd/yy"/>
    <numFmt numFmtId="166" formatCode="#,##0.0_);[Red]\(#,##0.0\)"/>
    <numFmt numFmtId="167" formatCode="#0.0_);[Red]\(#0.0\)"/>
    <numFmt numFmtId="168" formatCode="&quot;$&quot;#,##0_);[Red]\(&quot;$&quot;#,##0.00\)"/>
    <numFmt numFmtId="169" formatCode="_(* #,##0_);_(* \(#,##0\);_(* &quot;-&quot;??_);_(@_)"/>
    <numFmt numFmtId="170" formatCode="_(* #,##0.000_);_(* \(#,##0.00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77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0" fontId="0" fillId="0" borderId="0" xfId="0" quotePrefix="1"/>
    <xf numFmtId="0" fontId="2" fillId="3" borderId="1" xfId="0" applyFont="1" applyFill="1" applyBorder="1"/>
    <xf numFmtId="0" fontId="2" fillId="3" borderId="1" xfId="0" applyFont="1" applyFill="1" applyBorder="1" applyAlignment="1">
      <alignment horizontal="right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2" fillId="3" borderId="2" xfId="0" applyFont="1" applyFill="1" applyBorder="1"/>
    <xf numFmtId="0" fontId="2" fillId="3" borderId="2" xfId="0" applyFont="1" applyFill="1" applyBorder="1" applyAlignment="1">
      <alignment horizontal="right"/>
    </xf>
    <xf numFmtId="6" fontId="1" fillId="2" borderId="0" xfId="0" applyNumberFormat="1" applyFont="1" applyFill="1" applyAlignment="1">
      <alignment horizontal="center"/>
    </xf>
    <xf numFmtId="6" fontId="0" fillId="0" borderId="0" xfId="0" applyNumberFormat="1"/>
    <xf numFmtId="6" fontId="2" fillId="3" borderId="1" xfId="0" applyNumberFormat="1" applyFont="1" applyFill="1" applyBorder="1"/>
    <xf numFmtId="6" fontId="2" fillId="3" borderId="0" xfId="0" applyNumberFormat="1" applyFont="1" applyFill="1"/>
    <xf numFmtId="6" fontId="2" fillId="3" borderId="2" xfId="0" applyNumberFormat="1" applyFont="1" applyFill="1" applyBorder="1"/>
    <xf numFmtId="164" fontId="1" fillId="2" borderId="0" xfId="0" applyNumberFormat="1" applyFont="1" applyFill="1" applyAlignment="1">
      <alignment horizontal="center"/>
    </xf>
    <xf numFmtId="164" fontId="0" fillId="0" borderId="0" xfId="0" applyNumberFormat="1"/>
    <xf numFmtId="164" fontId="2" fillId="3" borderId="1" xfId="0" applyNumberFormat="1" applyFont="1" applyFill="1" applyBorder="1"/>
    <xf numFmtId="164" fontId="2" fillId="3" borderId="0" xfId="0" applyNumberFormat="1" applyFont="1" applyFill="1"/>
    <xf numFmtId="164" fontId="2" fillId="3" borderId="2" xfId="0" applyNumberFormat="1" applyFont="1" applyFill="1" applyBorder="1"/>
    <xf numFmtId="165" fontId="1" fillId="2" borderId="0" xfId="0" applyNumberFormat="1" applyFont="1" applyFill="1" applyAlignment="1">
      <alignment horizontal="center"/>
    </xf>
    <xf numFmtId="165" fontId="0" fillId="0" borderId="0" xfId="0" applyNumberFormat="1"/>
    <xf numFmtId="165" fontId="2" fillId="3" borderId="1" xfId="0" applyNumberFormat="1" applyFont="1" applyFill="1" applyBorder="1"/>
    <xf numFmtId="165" fontId="2" fillId="3" borderId="0" xfId="0" applyNumberFormat="1" applyFont="1" applyFill="1"/>
    <xf numFmtId="165" fontId="2" fillId="3" borderId="2" xfId="0" applyNumberFormat="1" applyFont="1" applyFill="1" applyBorder="1"/>
    <xf numFmtId="166" fontId="1" fillId="2" borderId="0" xfId="0" applyNumberFormat="1" applyFont="1" applyFill="1" applyAlignment="1">
      <alignment horizontal="center"/>
    </xf>
    <xf numFmtId="166" fontId="0" fillId="0" borderId="0" xfId="0" applyNumberFormat="1"/>
    <xf numFmtId="166" fontId="2" fillId="3" borderId="1" xfId="0" applyNumberFormat="1" applyFont="1" applyFill="1" applyBorder="1"/>
    <xf numFmtId="166" fontId="2" fillId="3" borderId="0" xfId="0" applyNumberFormat="1" applyFont="1" applyFill="1"/>
    <xf numFmtId="167" fontId="1" fillId="2" borderId="0" xfId="0" applyNumberFormat="1" applyFont="1" applyFill="1" applyAlignment="1">
      <alignment horizontal="center"/>
    </xf>
    <xf numFmtId="167" fontId="0" fillId="0" borderId="0" xfId="0" applyNumberFormat="1"/>
    <xf numFmtId="167" fontId="2" fillId="3" borderId="1" xfId="0" applyNumberFormat="1" applyFont="1" applyFill="1" applyBorder="1"/>
    <xf numFmtId="167" fontId="2" fillId="3" borderId="0" xfId="0" applyNumberFormat="1" applyFont="1" applyFill="1"/>
    <xf numFmtId="167" fontId="2" fillId="3" borderId="2" xfId="0" applyNumberFormat="1" applyFont="1" applyFill="1" applyBorder="1"/>
    <xf numFmtId="40" fontId="1" fillId="2" borderId="0" xfId="0" applyNumberFormat="1" applyFont="1" applyFill="1" applyAlignment="1">
      <alignment horizontal="center"/>
    </xf>
    <xf numFmtId="40" fontId="0" fillId="0" borderId="0" xfId="0" applyNumberFormat="1"/>
    <xf numFmtId="40" fontId="2" fillId="3" borderId="1" xfId="0" applyNumberFormat="1" applyFont="1" applyFill="1" applyBorder="1"/>
    <xf numFmtId="40" fontId="2" fillId="3" borderId="0" xfId="0" applyNumberFormat="1" applyFont="1" applyFill="1"/>
    <xf numFmtId="40" fontId="2" fillId="3" borderId="2" xfId="0" applyNumberFormat="1" applyFont="1" applyFill="1" applyBorder="1"/>
    <xf numFmtId="8" fontId="1" fillId="2" borderId="0" xfId="0" applyNumberFormat="1" applyFont="1" applyFill="1" applyAlignment="1">
      <alignment horizontal="center"/>
    </xf>
    <xf numFmtId="8" fontId="0" fillId="0" borderId="0" xfId="0" applyNumberFormat="1"/>
    <xf numFmtId="8" fontId="2" fillId="3" borderId="1" xfId="0" applyNumberFormat="1" applyFont="1" applyFill="1" applyBorder="1"/>
    <xf numFmtId="8" fontId="2" fillId="3" borderId="0" xfId="0" applyNumberFormat="1" applyFont="1" applyFill="1"/>
    <xf numFmtId="8" fontId="2" fillId="3" borderId="2" xfId="0" applyNumberFormat="1" applyFont="1" applyFill="1" applyBorder="1"/>
    <xf numFmtId="168" fontId="2" fillId="3" borderId="2" xfId="0" applyNumberFormat="1" applyFont="1" applyFill="1" applyBorder="1"/>
    <xf numFmtId="0" fontId="4" fillId="0" borderId="0" xfId="0" applyFont="1"/>
    <xf numFmtId="40" fontId="4" fillId="0" borderId="3" xfId="0" applyNumberFormat="1" applyFont="1" applyBorder="1"/>
    <xf numFmtId="40" fontId="4" fillId="0" borderId="4" xfId="0" applyNumberFormat="1" applyFont="1" applyBorder="1"/>
    <xf numFmtId="40" fontId="4" fillId="0" borderId="5" xfId="0" applyNumberFormat="1" applyFont="1" applyBorder="1"/>
    <xf numFmtId="40" fontId="4" fillId="0" borderId="6" xfId="0" applyNumberFormat="1" applyFont="1" applyBorder="1"/>
    <xf numFmtId="40" fontId="4" fillId="0" borderId="7" xfId="0" applyNumberFormat="1" applyFont="1" applyBorder="1"/>
    <xf numFmtId="6" fontId="4" fillId="0" borderId="7" xfId="0" applyNumberFormat="1" applyFont="1" applyBorder="1"/>
    <xf numFmtId="6" fontId="4" fillId="0" borderId="4" xfId="0" applyNumberFormat="1" applyFont="1" applyBorder="1"/>
    <xf numFmtId="40" fontId="4" fillId="0" borderId="8" xfId="0" applyNumberFormat="1" applyFont="1" applyBorder="1"/>
    <xf numFmtId="6" fontId="4" fillId="0" borderId="6" xfId="0" applyNumberFormat="1" applyFont="1" applyBorder="1"/>
    <xf numFmtId="8" fontId="0" fillId="0" borderId="0" xfId="0" applyNumberFormat="1" applyAlignment="1">
      <alignment horizontal="right"/>
    </xf>
    <xf numFmtId="40" fontId="4" fillId="0" borderId="0" xfId="0" applyNumberFormat="1" applyFont="1"/>
    <xf numFmtId="6" fontId="4" fillId="0" borderId="0" xfId="0" applyNumberFormat="1" applyFont="1"/>
    <xf numFmtId="168" fontId="2" fillId="3" borderId="0" xfId="0" applyNumberFormat="1" applyFont="1" applyFill="1"/>
    <xf numFmtId="169" fontId="4" fillId="0" borderId="0" xfId="1" applyNumberFormat="1" applyFont="1"/>
    <xf numFmtId="2" fontId="0" fillId="0" borderId="0" xfId="0" applyNumberFormat="1" applyAlignment="1">
      <alignment horizontal="center"/>
    </xf>
    <xf numFmtId="169" fontId="0" fillId="0" borderId="0" xfId="1" applyNumberFormat="1" applyFont="1"/>
    <xf numFmtId="170" fontId="0" fillId="0" borderId="0" xfId="1" applyNumberFormat="1" applyFont="1"/>
    <xf numFmtId="0" fontId="4" fillId="0" borderId="0" xfId="0" applyFont="1" applyAlignment="1">
      <alignment horizontal="center"/>
    </xf>
    <xf numFmtId="169" fontId="4" fillId="0" borderId="0" xfId="1" applyNumberFormat="1" applyFont="1" applyAlignment="1">
      <alignment horizontal="center"/>
    </xf>
    <xf numFmtId="169" fontId="4" fillId="0" borderId="0" xfId="1" applyNumberFormat="1" applyFont="1" applyAlignment="1">
      <alignment horizontal="center" wrapText="1"/>
    </xf>
    <xf numFmtId="43" fontId="0" fillId="4" borderId="0" xfId="1" applyFont="1" applyFill="1"/>
    <xf numFmtId="169" fontId="0" fillId="5" borderId="0" xfId="1" applyNumberFormat="1" applyFont="1" applyFill="1"/>
    <xf numFmtId="169" fontId="4" fillId="6" borderId="0" xfId="1" applyNumberFormat="1" applyFont="1" applyFill="1"/>
    <xf numFmtId="1" fontId="0" fillId="0" borderId="0" xfId="1" applyNumberFormat="1" applyFont="1" applyAlignment="1">
      <alignment horizontal="center"/>
    </xf>
    <xf numFmtId="169" fontId="0" fillId="7" borderId="0" xfId="0" applyNumberFormat="1" applyFill="1"/>
    <xf numFmtId="1" fontId="0" fillId="0" borderId="0" xfId="0" applyNumberFormat="1" applyAlignment="1">
      <alignment horizontal="center"/>
    </xf>
    <xf numFmtId="43" fontId="0" fillId="0" borderId="0" xfId="0" applyNumberFormat="1"/>
    <xf numFmtId="2" fontId="4" fillId="0" borderId="0" xfId="0" applyNumberFormat="1" applyFont="1" applyAlignment="1">
      <alignment horizontal="center"/>
    </xf>
  </cellXfs>
  <cellStyles count="2">
    <cellStyle name="Comma" xfId="1" builtinId="3"/>
    <cellStyle name="Normal" xfId="0" builtinId="0"/>
  </cellStyles>
  <dxfs count="20">
    <dxf>
      <fill>
        <patternFill>
          <bgColor rgb="FFFFFFFF"/>
        </patternFill>
      </fill>
    </dxf>
    <dxf>
      <fill>
        <patternFill>
          <bgColor rgb="FFA7E4CD"/>
        </patternFill>
      </fill>
    </dxf>
    <dxf>
      <fill>
        <patternFill>
          <bgColor rgb="FFFFFFFF"/>
        </patternFill>
      </fill>
    </dxf>
    <dxf>
      <fill>
        <patternFill>
          <bgColor rgb="FFA7E4CD"/>
        </patternFill>
      </fill>
    </dxf>
    <dxf>
      <fill>
        <patternFill>
          <bgColor rgb="FFFFFFFF"/>
        </patternFill>
      </fill>
    </dxf>
    <dxf>
      <fill>
        <patternFill>
          <bgColor rgb="FFA7E4CD"/>
        </patternFill>
      </fill>
    </dxf>
    <dxf>
      <fill>
        <patternFill>
          <bgColor rgb="FFFFFFFF"/>
        </patternFill>
      </fill>
    </dxf>
    <dxf>
      <fill>
        <patternFill>
          <bgColor rgb="FFA7E4CD"/>
        </patternFill>
      </fill>
    </dxf>
    <dxf>
      <fill>
        <patternFill>
          <bgColor rgb="FFFFFFFF"/>
        </patternFill>
      </fill>
    </dxf>
    <dxf>
      <fill>
        <patternFill>
          <bgColor rgb="FFA7E4CD"/>
        </patternFill>
      </fill>
    </dxf>
    <dxf>
      <fill>
        <patternFill>
          <bgColor rgb="FFFFFFFF"/>
        </patternFill>
      </fill>
    </dxf>
    <dxf>
      <fill>
        <patternFill>
          <bgColor rgb="FFA7E4CD"/>
        </patternFill>
      </fill>
    </dxf>
    <dxf>
      <fill>
        <patternFill>
          <bgColor rgb="FFFFFFFF"/>
        </patternFill>
      </fill>
    </dxf>
    <dxf>
      <fill>
        <patternFill>
          <bgColor rgb="FFA7E4CD"/>
        </patternFill>
      </fill>
    </dxf>
    <dxf>
      <fill>
        <patternFill>
          <bgColor rgb="FFFFFFFF"/>
        </patternFill>
      </fill>
    </dxf>
    <dxf>
      <fill>
        <patternFill>
          <bgColor rgb="FFA7E4CD"/>
        </patternFill>
      </fill>
    </dxf>
    <dxf>
      <fill>
        <patternFill>
          <bgColor rgb="FFFFFFFF"/>
        </patternFill>
      </fill>
    </dxf>
    <dxf>
      <fill>
        <patternFill>
          <bgColor rgb="FFA7E4CD"/>
        </patternFill>
      </fill>
    </dxf>
    <dxf>
      <fill>
        <patternFill>
          <bgColor rgb="FFFFFFFF"/>
        </patternFill>
      </fill>
    </dxf>
    <dxf>
      <fill>
        <patternFill>
          <bgColor rgb="FFA7E4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RATES BY SIZE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yVal>
            <c:numRef>
              <c:f>'RURAL RES &amp; VILLAGE ALT'!$B$301:$B$316</c:f>
              <c:numCache>
                <c:formatCode>_(* #,##0_);_(* \(#,##0\);_(* "-"??_);_(@_)</c:formatCode>
                <c:ptCount val="16"/>
                <c:pt idx="0">
                  <c:v>45959.6</c:v>
                </c:pt>
                <c:pt idx="1">
                  <c:v>43642.442356959858</c:v>
                </c:pt>
                <c:pt idx="2">
                  <c:v>31866.082895504958</c:v>
                </c:pt>
                <c:pt idx="3">
                  <c:v>37277.87769784173</c:v>
                </c:pt>
                <c:pt idx="4">
                  <c:v>30520.351758793971</c:v>
                </c:pt>
                <c:pt idx="5">
                  <c:v>24511.5748738857</c:v>
                </c:pt>
                <c:pt idx="6">
                  <c:v>37534.19989904089</c:v>
                </c:pt>
                <c:pt idx="7">
                  <c:v>12819.561688311687</c:v>
                </c:pt>
                <c:pt idx="8">
                  <c:v>11158.053857591278</c:v>
                </c:pt>
                <c:pt idx="9">
                  <c:v>11147.430730478591</c:v>
                </c:pt>
                <c:pt idx="10">
                  <c:v>8513.8261851015814</c:v>
                </c:pt>
                <c:pt idx="11">
                  <c:v>3515.5222545291881</c:v>
                </c:pt>
                <c:pt idx="12">
                  <c:v>7994.6958981612443</c:v>
                </c:pt>
                <c:pt idx="13">
                  <c:v>5228.5631349782288</c:v>
                </c:pt>
                <c:pt idx="14">
                  <c:v>5188.6792452830186</c:v>
                </c:pt>
                <c:pt idx="15">
                  <c:v>1500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5D-4569-8421-F83E04C2B61A}"/>
            </c:ext>
          </c:extLst>
        </c:ser>
        <c:ser>
          <c:idx val="1"/>
          <c:order val="1"/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'RURAL RES &amp; VILLAGE ALT'!$D$301:$D$316</c:f>
              <c:numCache>
                <c:formatCode>_(* #,##0_);_(* \(#,##0\);_(* "-"??_);_(@_)</c:formatCode>
                <c:ptCount val="16"/>
                <c:pt idx="0">
                  <c:v>44000</c:v>
                </c:pt>
                <c:pt idx="1">
                  <c:v>39000</c:v>
                </c:pt>
                <c:pt idx="2">
                  <c:v>34300</c:v>
                </c:pt>
                <c:pt idx="3">
                  <c:v>29500</c:v>
                </c:pt>
                <c:pt idx="4">
                  <c:v>25000</c:v>
                </c:pt>
                <c:pt idx="5">
                  <c:v>19750</c:v>
                </c:pt>
                <c:pt idx="6">
                  <c:v>16200</c:v>
                </c:pt>
                <c:pt idx="7">
                  <c:v>12800</c:v>
                </c:pt>
                <c:pt idx="8">
                  <c:v>10500</c:v>
                </c:pt>
                <c:pt idx="9">
                  <c:v>8500</c:v>
                </c:pt>
                <c:pt idx="10">
                  <c:v>6800</c:v>
                </c:pt>
                <c:pt idx="11">
                  <c:v>5500</c:v>
                </c:pt>
                <c:pt idx="12">
                  <c:v>4800</c:v>
                </c:pt>
                <c:pt idx="13">
                  <c:v>3700</c:v>
                </c:pt>
                <c:pt idx="14">
                  <c:v>3000</c:v>
                </c:pt>
                <c:pt idx="15">
                  <c:v>1600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5D-4569-8421-F83E04C2B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800224"/>
        <c:axId val="202806104"/>
      </c:scatterChart>
      <c:valAx>
        <c:axId val="202800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06104"/>
        <c:crosses val="autoZero"/>
        <c:crossBetween val="midCat"/>
      </c:valAx>
      <c:valAx>
        <c:axId val="202806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00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RATES BY SIZE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yVal>
            <c:numRef>
              <c:f>'RURAL RES &amp; VILLAGE ALT WATER'!$B$134:$B$149</c:f>
              <c:numCache>
                <c:formatCode>_(* #,##0_);_(* \(#,##0\);_(* "-"??_);_(@_)</c:formatCode>
                <c:ptCount val="16"/>
                <c:pt idx="0">
                  <c:v>60527.333333333336</c:v>
                </c:pt>
                <c:pt idx="1">
                  <c:v>94739.252336448597</c:v>
                </c:pt>
                <c:pt idx="2">
                  <c:v>69038.161559888584</c:v>
                </c:pt>
                <c:pt idx="4">
                  <c:v>60879.259259259255</c:v>
                </c:pt>
                <c:pt idx="5">
                  <c:v>55336.778115501518</c:v>
                </c:pt>
                <c:pt idx="8">
                  <c:v>34247.152619589979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55-44CB-A1AA-47BE4810FDE1}"/>
            </c:ext>
          </c:extLst>
        </c:ser>
        <c:ser>
          <c:idx val="1"/>
          <c:order val="1"/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'RURAL RES &amp; VILLAGE ALT WATER'!$D$134:$D$149</c:f>
              <c:numCache>
                <c:formatCode>_(* #,##0_);_(* \(#,##0\);_(* "-"??_);_(@_)</c:formatCode>
                <c:ptCount val="16"/>
                <c:pt idx="0">
                  <c:v>80000</c:v>
                </c:pt>
                <c:pt idx="1">
                  <c:v>72000</c:v>
                </c:pt>
                <c:pt idx="2">
                  <c:v>66000</c:v>
                </c:pt>
                <c:pt idx="3">
                  <c:v>60000</c:v>
                </c:pt>
                <c:pt idx="4">
                  <c:v>55000</c:v>
                </c:pt>
                <c:pt idx="5">
                  <c:v>48000</c:v>
                </c:pt>
                <c:pt idx="6">
                  <c:v>42000</c:v>
                </c:pt>
                <c:pt idx="7">
                  <c:v>33000</c:v>
                </c:pt>
                <c:pt idx="8">
                  <c:v>25000</c:v>
                </c:pt>
                <c:pt idx="9">
                  <c:v>18000</c:v>
                </c:pt>
                <c:pt idx="10">
                  <c:v>14000</c:v>
                </c:pt>
                <c:pt idx="11">
                  <c:v>11500</c:v>
                </c:pt>
                <c:pt idx="12">
                  <c:v>9600</c:v>
                </c:pt>
                <c:pt idx="13">
                  <c:v>7300</c:v>
                </c:pt>
                <c:pt idx="14">
                  <c:v>5900</c:v>
                </c:pt>
                <c:pt idx="15">
                  <c:v>3000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055-44CB-A1AA-47BE4810FD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800224"/>
        <c:axId val="202806104"/>
      </c:scatterChart>
      <c:valAx>
        <c:axId val="202800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06104"/>
        <c:crosses val="autoZero"/>
        <c:crossBetween val="midCat"/>
      </c:valAx>
      <c:valAx>
        <c:axId val="202806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00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299</xdr:row>
      <xdr:rowOff>57150</xdr:rowOff>
    </xdr:from>
    <xdr:to>
      <xdr:col>18</xdr:col>
      <xdr:colOff>726018</xdr:colOff>
      <xdr:row>326</xdr:row>
      <xdr:rowOff>169334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18B433-271F-47BA-B457-1445E7D936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132</xdr:row>
      <xdr:rowOff>57150</xdr:rowOff>
    </xdr:from>
    <xdr:to>
      <xdr:col>18</xdr:col>
      <xdr:colOff>726018</xdr:colOff>
      <xdr:row>159</xdr:row>
      <xdr:rowOff>169334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4E2CB6-086C-47D6-9D64-933B5F0DDE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D02C3-DE1E-441E-8BEB-C988D4F0DA90}">
  <dimension ref="A1:AS251"/>
  <sheetViews>
    <sheetView tabSelected="1" workbookViewId="0">
      <selection activeCell="B34" sqref="B34"/>
    </sheetView>
  </sheetViews>
  <sheetFormatPr defaultRowHeight="15" x14ac:dyDescent="0.25"/>
  <cols>
    <col min="1" max="1" width="18.140625" bestFit="1" customWidth="1"/>
    <col min="2" max="2" width="26.5703125" bestFit="1" customWidth="1"/>
    <col min="3" max="3" width="9.28515625" style="24" bestFit="1" customWidth="1"/>
    <col min="4" max="4" width="11.85546875" style="14" bestFit="1" customWidth="1"/>
    <col min="5" max="5" width="5.5703125" bestFit="1" customWidth="1"/>
    <col min="6" max="6" width="38.42578125" bestFit="1" customWidth="1"/>
    <col min="7" max="7" width="11.85546875" style="14" bestFit="1" customWidth="1"/>
    <col min="8" max="8" width="12.7109375" style="14" bestFit="1" customWidth="1"/>
    <col min="9" max="9" width="12.85546875" style="19" bestFit="1" customWidth="1"/>
    <col min="10" max="10" width="13.42578125" style="14" bestFit="1" customWidth="1"/>
    <col min="11" max="11" width="13.28515625" style="14" bestFit="1" customWidth="1"/>
    <col min="12" max="12" width="14.42578125" style="14" bestFit="1" customWidth="1"/>
    <col min="13" max="13" width="11.140625" style="29" bestFit="1" customWidth="1"/>
    <col min="14" max="14" width="6.42578125" style="33" bestFit="1" customWidth="1"/>
    <col min="15" max="15" width="14.28515625" style="38" bestFit="1" customWidth="1"/>
    <col min="16" max="16" width="10.7109375" style="38" bestFit="1" customWidth="1"/>
    <col min="17" max="17" width="10" style="14" bestFit="1" customWidth="1"/>
    <col min="18" max="18" width="12" style="14" bestFit="1" customWidth="1"/>
    <col min="19" max="19" width="11.85546875" style="43" bestFit="1" customWidth="1"/>
    <col min="20" max="20" width="11.7109375" style="38" bestFit="1" customWidth="1"/>
    <col min="21" max="21" width="8.7109375" style="4" bestFit="1" customWidth="1"/>
    <col min="22" max="22" width="10.5703125" bestFit="1" customWidth="1"/>
    <col min="23" max="23" width="36.5703125" bestFit="1" customWidth="1"/>
    <col min="24" max="24" width="29" bestFit="1" customWidth="1"/>
    <col min="25" max="25" width="5.42578125" bestFit="1" customWidth="1"/>
  </cols>
  <sheetData>
    <row r="1" spans="1:45" x14ac:dyDescent="0.25">
      <c r="A1" s="1" t="s">
        <v>0</v>
      </c>
      <c r="B1" s="1" t="s">
        <v>1</v>
      </c>
      <c r="C1" s="23" t="s">
        <v>2</v>
      </c>
      <c r="D1" s="13" t="s">
        <v>3</v>
      </c>
      <c r="E1" s="1" t="s">
        <v>4</v>
      </c>
      <c r="F1" s="1" t="s">
        <v>5</v>
      </c>
      <c r="G1" s="13" t="s">
        <v>6</v>
      </c>
      <c r="H1" s="13" t="s">
        <v>7</v>
      </c>
      <c r="I1" s="18" t="s">
        <v>8</v>
      </c>
      <c r="J1" s="13" t="s">
        <v>9</v>
      </c>
      <c r="K1" s="13" t="s">
        <v>10</v>
      </c>
      <c r="L1" s="13" t="s">
        <v>11</v>
      </c>
      <c r="M1" s="28" t="s">
        <v>12</v>
      </c>
      <c r="N1" s="32" t="s">
        <v>13</v>
      </c>
      <c r="O1" s="37" t="s">
        <v>14</v>
      </c>
      <c r="P1" s="37" t="s">
        <v>15</v>
      </c>
      <c r="Q1" s="13" t="s">
        <v>16</v>
      </c>
      <c r="R1" s="13" t="s">
        <v>17</v>
      </c>
      <c r="S1" s="42" t="s">
        <v>18</v>
      </c>
      <c r="T1" s="37" t="s">
        <v>19</v>
      </c>
      <c r="U1" s="3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</row>
    <row r="2" spans="1:45" x14ac:dyDescent="0.25">
      <c r="A2" t="s">
        <v>398</v>
      </c>
      <c r="B2" t="s">
        <v>399</v>
      </c>
      <c r="C2" s="24">
        <v>45175</v>
      </c>
      <c r="D2" s="14">
        <v>236500</v>
      </c>
      <c r="E2" t="s">
        <v>27</v>
      </c>
      <c r="F2" t="s">
        <v>28</v>
      </c>
      <c r="G2" s="14">
        <v>236500</v>
      </c>
      <c r="H2" s="14">
        <v>87300</v>
      </c>
      <c r="I2" s="19">
        <f t="shared" ref="I2:I65" si="0">H2/G2*100</f>
        <v>36.913319238900634</v>
      </c>
      <c r="J2" s="14">
        <v>174678</v>
      </c>
      <c r="K2" s="14">
        <f>G2-122678</f>
        <v>113822</v>
      </c>
      <c r="L2" s="14">
        <v>52000</v>
      </c>
      <c r="M2" s="29">
        <v>0</v>
      </c>
      <c r="N2" s="33">
        <v>0</v>
      </c>
      <c r="O2" s="38">
        <v>0.39</v>
      </c>
      <c r="P2" s="38">
        <v>0.39</v>
      </c>
      <c r="Q2" s="14" t="e">
        <f t="shared" ref="Q2:Q65" si="1">K2/M2</f>
        <v>#DIV/0!</v>
      </c>
      <c r="R2" s="14">
        <f t="shared" ref="R2:R65" si="2">K2/O2</f>
        <v>291851.28205128206</v>
      </c>
      <c r="S2" s="43">
        <f t="shared" ref="S2:S65" si="3">K2/O2/43560</f>
        <v>6.6999835181653369</v>
      </c>
      <c r="T2" s="38">
        <v>0</v>
      </c>
      <c r="U2" s="5" t="s">
        <v>356</v>
      </c>
      <c r="V2" t="s">
        <v>400</v>
      </c>
      <c r="X2" t="s">
        <v>358</v>
      </c>
      <c r="Y2" s="6" t="s">
        <v>32</v>
      </c>
    </row>
    <row r="3" spans="1:45" x14ac:dyDescent="0.25">
      <c r="A3" t="s">
        <v>575</v>
      </c>
      <c r="B3" t="s">
        <v>576</v>
      </c>
      <c r="C3" s="24">
        <v>44662</v>
      </c>
      <c r="D3" s="14">
        <v>133000</v>
      </c>
      <c r="E3" t="s">
        <v>27</v>
      </c>
      <c r="F3" t="s">
        <v>28</v>
      </c>
      <c r="G3" s="14">
        <v>133000</v>
      </c>
      <c r="H3" s="14">
        <v>49100</v>
      </c>
      <c r="I3" s="19">
        <f t="shared" si="0"/>
        <v>36.917293233082702</v>
      </c>
      <c r="J3" s="14">
        <v>98162</v>
      </c>
      <c r="K3" s="14">
        <f>G3-68162</f>
        <v>64838</v>
      </c>
      <c r="L3" s="14">
        <v>30000</v>
      </c>
      <c r="M3" s="29">
        <v>0</v>
      </c>
      <c r="N3" s="33">
        <v>0</v>
      </c>
      <c r="O3" s="38">
        <v>0.23</v>
      </c>
      <c r="P3" s="38">
        <v>0.23</v>
      </c>
      <c r="Q3" s="14" t="e">
        <f t="shared" si="1"/>
        <v>#DIV/0!</v>
      </c>
      <c r="R3" s="14">
        <f t="shared" si="2"/>
        <v>281904.34782608692</v>
      </c>
      <c r="S3" s="43">
        <f t="shared" si="3"/>
        <v>6.4716333293408379</v>
      </c>
      <c r="T3" s="38">
        <v>0</v>
      </c>
      <c r="U3" s="5" t="s">
        <v>29</v>
      </c>
      <c r="V3" t="s">
        <v>578</v>
      </c>
      <c r="X3" t="s">
        <v>358</v>
      </c>
      <c r="Y3" s="6" t="s">
        <v>32</v>
      </c>
    </row>
    <row r="4" spans="1:45" x14ac:dyDescent="0.25">
      <c r="A4" t="s">
        <v>572</v>
      </c>
      <c r="B4" t="s">
        <v>573</v>
      </c>
      <c r="C4" s="24">
        <v>45072</v>
      </c>
      <c r="D4" s="14">
        <v>94900</v>
      </c>
      <c r="E4" t="s">
        <v>27</v>
      </c>
      <c r="F4" t="s">
        <v>28</v>
      </c>
      <c r="G4" s="14">
        <v>94900</v>
      </c>
      <c r="H4" s="14">
        <v>36600</v>
      </c>
      <c r="I4" s="19">
        <f t="shared" si="0"/>
        <v>38.566912539515279</v>
      </c>
      <c r="J4" s="14">
        <v>73161</v>
      </c>
      <c r="K4" s="14">
        <f>G4-43161</f>
        <v>51739</v>
      </c>
      <c r="L4" s="14">
        <v>30000</v>
      </c>
      <c r="M4" s="29">
        <v>0</v>
      </c>
      <c r="N4" s="33">
        <v>0</v>
      </c>
      <c r="O4" s="38">
        <v>0.23</v>
      </c>
      <c r="P4" s="38">
        <v>0.23</v>
      </c>
      <c r="Q4" s="14" t="e">
        <f t="shared" si="1"/>
        <v>#DIV/0!</v>
      </c>
      <c r="R4" s="14">
        <f t="shared" si="2"/>
        <v>224952.17391304346</v>
      </c>
      <c r="S4" s="43">
        <f t="shared" si="3"/>
        <v>5.1641913203178023</v>
      </c>
      <c r="T4" s="38">
        <v>0</v>
      </c>
      <c r="U4" s="5" t="s">
        <v>29</v>
      </c>
      <c r="V4" t="s">
        <v>574</v>
      </c>
      <c r="X4" t="s">
        <v>358</v>
      </c>
      <c r="Y4" s="6" t="s">
        <v>32</v>
      </c>
    </row>
    <row r="5" spans="1:45" x14ac:dyDescent="0.25">
      <c r="A5" t="s">
        <v>389</v>
      </c>
      <c r="B5" t="s">
        <v>390</v>
      </c>
      <c r="C5" s="24">
        <v>44547</v>
      </c>
      <c r="D5" s="14">
        <v>205000</v>
      </c>
      <c r="E5" t="s">
        <v>27</v>
      </c>
      <c r="F5" t="s">
        <v>28</v>
      </c>
      <c r="G5" s="14">
        <v>205000</v>
      </c>
      <c r="H5" s="14">
        <v>79900</v>
      </c>
      <c r="I5" s="19">
        <f t="shared" si="0"/>
        <v>38.975609756097562</v>
      </c>
      <c r="J5" s="14">
        <v>159738</v>
      </c>
      <c r="K5" s="14">
        <f>G5-129738</f>
        <v>75262</v>
      </c>
      <c r="L5" s="14">
        <v>30000</v>
      </c>
      <c r="M5" s="29">
        <v>0</v>
      </c>
      <c r="N5" s="33">
        <v>0</v>
      </c>
      <c r="O5" s="38">
        <v>0.85</v>
      </c>
      <c r="P5" s="38">
        <v>0.85</v>
      </c>
      <c r="Q5" s="14" t="e">
        <f t="shared" si="1"/>
        <v>#DIV/0!</v>
      </c>
      <c r="R5" s="14">
        <f t="shared" si="2"/>
        <v>88543.529411764714</v>
      </c>
      <c r="S5" s="43">
        <f t="shared" si="3"/>
        <v>2.0326797385620918</v>
      </c>
      <c r="T5" s="38">
        <v>0</v>
      </c>
      <c r="U5" s="5" t="s">
        <v>356</v>
      </c>
      <c r="V5" t="s">
        <v>391</v>
      </c>
      <c r="X5" t="s">
        <v>358</v>
      </c>
      <c r="Y5" s="6" t="s">
        <v>32</v>
      </c>
    </row>
    <row r="6" spans="1:45" x14ac:dyDescent="0.25">
      <c r="A6" t="s">
        <v>401</v>
      </c>
      <c r="B6" t="s">
        <v>402</v>
      </c>
      <c r="C6" s="24">
        <v>45155</v>
      </c>
      <c r="D6" s="14">
        <v>210000</v>
      </c>
      <c r="E6" t="s">
        <v>27</v>
      </c>
      <c r="F6" t="s">
        <v>28</v>
      </c>
      <c r="G6" s="14">
        <v>210000</v>
      </c>
      <c r="H6" s="14">
        <v>82100</v>
      </c>
      <c r="I6" s="19">
        <f t="shared" si="0"/>
        <v>39.095238095238095</v>
      </c>
      <c r="J6" s="14">
        <v>164225</v>
      </c>
      <c r="K6" s="14">
        <f>G6-112225</f>
        <v>97775</v>
      </c>
      <c r="L6" s="14">
        <v>52000</v>
      </c>
      <c r="M6" s="29">
        <v>0</v>
      </c>
      <c r="N6" s="33">
        <v>0</v>
      </c>
      <c r="O6" s="38">
        <v>0.41</v>
      </c>
      <c r="P6" s="38">
        <v>0.41</v>
      </c>
      <c r="Q6" s="14" t="e">
        <f t="shared" si="1"/>
        <v>#DIV/0!</v>
      </c>
      <c r="R6" s="14">
        <f t="shared" si="2"/>
        <v>238475.60975609758</v>
      </c>
      <c r="S6" s="43">
        <f t="shared" si="3"/>
        <v>5.4746466886156471</v>
      </c>
      <c r="T6" s="38">
        <v>0</v>
      </c>
      <c r="U6" s="5" t="s">
        <v>356</v>
      </c>
      <c r="V6" t="s">
        <v>404</v>
      </c>
      <c r="X6" t="s">
        <v>358</v>
      </c>
      <c r="Y6" s="6" t="s">
        <v>32</v>
      </c>
    </row>
    <row r="7" spans="1:45" x14ac:dyDescent="0.25">
      <c r="A7" t="s">
        <v>438</v>
      </c>
      <c r="B7" t="s">
        <v>439</v>
      </c>
      <c r="C7" s="24">
        <v>44517</v>
      </c>
      <c r="D7" s="14">
        <v>345000</v>
      </c>
      <c r="E7" t="s">
        <v>27</v>
      </c>
      <c r="F7" t="s">
        <v>28</v>
      </c>
      <c r="G7" s="14">
        <v>345000</v>
      </c>
      <c r="H7" s="14">
        <v>135500</v>
      </c>
      <c r="I7" s="19">
        <f t="shared" si="0"/>
        <v>39.275362318840578</v>
      </c>
      <c r="J7" s="14">
        <v>270971</v>
      </c>
      <c r="K7" s="14">
        <f>G7-210971</f>
        <v>134029</v>
      </c>
      <c r="L7" s="14">
        <v>60000</v>
      </c>
      <c r="M7" s="29">
        <v>0</v>
      </c>
      <c r="N7" s="33">
        <v>0</v>
      </c>
      <c r="O7" s="38">
        <v>0.31</v>
      </c>
      <c r="P7" s="38">
        <v>0.31</v>
      </c>
      <c r="Q7" s="14" t="e">
        <f t="shared" si="1"/>
        <v>#DIV/0!</v>
      </c>
      <c r="R7" s="14">
        <f t="shared" si="2"/>
        <v>432351.61290322582</v>
      </c>
      <c r="S7" s="43">
        <f t="shared" si="3"/>
        <v>9.9254272934624836</v>
      </c>
      <c r="T7" s="38">
        <v>0</v>
      </c>
      <c r="U7" s="5" t="s">
        <v>356</v>
      </c>
      <c r="V7" t="s">
        <v>440</v>
      </c>
      <c r="X7" t="s">
        <v>358</v>
      </c>
      <c r="Y7" s="6" t="s">
        <v>32</v>
      </c>
    </row>
    <row r="8" spans="1:45" x14ac:dyDescent="0.25">
      <c r="A8" t="s">
        <v>766</v>
      </c>
      <c r="B8" t="s">
        <v>767</v>
      </c>
      <c r="C8" s="24">
        <v>45019</v>
      </c>
      <c r="D8" s="14">
        <v>260000</v>
      </c>
      <c r="E8" t="s">
        <v>27</v>
      </c>
      <c r="F8" t="s">
        <v>28</v>
      </c>
      <c r="G8" s="14">
        <v>260000</v>
      </c>
      <c r="H8" s="14">
        <v>103900</v>
      </c>
      <c r="I8" s="19">
        <f t="shared" si="0"/>
        <v>39.96153846153846</v>
      </c>
      <c r="J8" s="14">
        <v>207780</v>
      </c>
      <c r="K8" s="14">
        <f>G8-161780</f>
        <v>98220</v>
      </c>
      <c r="L8" s="14">
        <v>46000</v>
      </c>
      <c r="M8" s="29">
        <v>0</v>
      </c>
      <c r="N8" s="33">
        <v>0</v>
      </c>
      <c r="O8" s="38">
        <v>0.4</v>
      </c>
      <c r="P8" s="38">
        <v>0.4</v>
      </c>
      <c r="Q8" s="14" t="e">
        <f t="shared" si="1"/>
        <v>#DIV/0!</v>
      </c>
      <c r="R8" s="14">
        <f t="shared" si="2"/>
        <v>245550</v>
      </c>
      <c r="S8" s="43">
        <f t="shared" si="3"/>
        <v>5.637052341597796</v>
      </c>
      <c r="T8" s="38">
        <v>0</v>
      </c>
      <c r="U8" s="5" t="s">
        <v>356</v>
      </c>
      <c r="V8" t="s">
        <v>768</v>
      </c>
      <c r="X8" t="s">
        <v>358</v>
      </c>
      <c r="Y8" s="6" t="s">
        <v>32</v>
      </c>
    </row>
    <row r="9" spans="1:45" x14ac:dyDescent="0.25">
      <c r="A9" t="s">
        <v>610</v>
      </c>
      <c r="B9" t="s">
        <v>611</v>
      </c>
      <c r="C9" s="24">
        <v>44550</v>
      </c>
      <c r="D9" s="14">
        <v>230000</v>
      </c>
      <c r="E9" t="s">
        <v>27</v>
      </c>
      <c r="F9" t="s">
        <v>28</v>
      </c>
      <c r="G9" s="14">
        <v>230000</v>
      </c>
      <c r="H9" s="14">
        <v>93600</v>
      </c>
      <c r="I9" s="19">
        <f t="shared" si="0"/>
        <v>40.695652173913047</v>
      </c>
      <c r="J9" s="14">
        <v>187188</v>
      </c>
      <c r="K9" s="14">
        <f>G9-137188</f>
        <v>92812</v>
      </c>
      <c r="L9" s="14">
        <v>50000</v>
      </c>
      <c r="M9" s="29">
        <v>0</v>
      </c>
      <c r="N9" s="33">
        <v>0</v>
      </c>
      <c r="O9" s="38">
        <v>0.31</v>
      </c>
      <c r="P9" s="38">
        <v>0.31</v>
      </c>
      <c r="Q9" s="14" t="e">
        <f t="shared" si="1"/>
        <v>#DIV/0!</v>
      </c>
      <c r="R9" s="14">
        <f t="shared" si="2"/>
        <v>299393.54838709679</v>
      </c>
      <c r="S9" s="43">
        <f t="shared" si="3"/>
        <v>6.8731301282620931</v>
      </c>
      <c r="T9" s="38">
        <v>0</v>
      </c>
      <c r="U9" s="5" t="s">
        <v>356</v>
      </c>
      <c r="V9" t="s">
        <v>612</v>
      </c>
      <c r="X9" t="s">
        <v>358</v>
      </c>
      <c r="Y9" s="6" t="s">
        <v>32</v>
      </c>
    </row>
    <row r="10" spans="1:45" x14ac:dyDescent="0.25">
      <c r="A10" t="s">
        <v>423</v>
      </c>
      <c r="B10" t="s">
        <v>424</v>
      </c>
      <c r="C10" s="24">
        <v>44788</v>
      </c>
      <c r="D10" s="14">
        <v>270000</v>
      </c>
      <c r="E10" t="s">
        <v>27</v>
      </c>
      <c r="F10" t="s">
        <v>28</v>
      </c>
      <c r="G10" s="14">
        <v>270000</v>
      </c>
      <c r="H10" s="14">
        <v>115300</v>
      </c>
      <c r="I10" s="19">
        <f t="shared" si="0"/>
        <v>42.703703703703702</v>
      </c>
      <c r="J10" s="14">
        <v>230532</v>
      </c>
      <c r="K10" s="14">
        <f>G10-170532</f>
        <v>99468</v>
      </c>
      <c r="L10" s="14">
        <v>60000</v>
      </c>
      <c r="M10" s="29">
        <v>0</v>
      </c>
      <c r="N10" s="33">
        <v>0</v>
      </c>
      <c r="O10" s="38">
        <v>0.25</v>
      </c>
      <c r="P10" s="38">
        <v>0.25</v>
      </c>
      <c r="Q10" s="14" t="e">
        <f t="shared" si="1"/>
        <v>#DIV/0!</v>
      </c>
      <c r="R10" s="14">
        <f t="shared" si="2"/>
        <v>397872</v>
      </c>
      <c r="S10" s="43">
        <f t="shared" si="3"/>
        <v>9.1338842975206607</v>
      </c>
      <c r="T10" s="38">
        <v>0</v>
      </c>
      <c r="U10" s="5" t="s">
        <v>356</v>
      </c>
      <c r="V10" t="s">
        <v>425</v>
      </c>
      <c r="X10" t="s">
        <v>358</v>
      </c>
      <c r="Y10" s="6" t="s">
        <v>32</v>
      </c>
    </row>
    <row r="11" spans="1:45" x14ac:dyDescent="0.25">
      <c r="A11" t="s">
        <v>395</v>
      </c>
      <c r="B11" t="s">
        <v>396</v>
      </c>
      <c r="C11" s="24">
        <v>44322</v>
      </c>
      <c r="D11" s="14">
        <v>175000</v>
      </c>
      <c r="E11" t="s">
        <v>27</v>
      </c>
      <c r="F11" t="s">
        <v>28</v>
      </c>
      <c r="G11" s="14">
        <v>175000</v>
      </c>
      <c r="H11" s="14">
        <v>75700</v>
      </c>
      <c r="I11" s="19">
        <f t="shared" si="0"/>
        <v>43.257142857142853</v>
      </c>
      <c r="J11" s="14">
        <v>151311</v>
      </c>
      <c r="K11" s="14">
        <f>G11-99311</f>
        <v>75689</v>
      </c>
      <c r="L11" s="14">
        <v>52000</v>
      </c>
      <c r="M11" s="29">
        <v>0</v>
      </c>
      <c r="N11" s="33">
        <v>0</v>
      </c>
      <c r="O11" s="38">
        <v>0.41</v>
      </c>
      <c r="P11" s="38">
        <v>0.41</v>
      </c>
      <c r="Q11" s="14" t="e">
        <f t="shared" si="1"/>
        <v>#DIV/0!</v>
      </c>
      <c r="R11" s="14">
        <f t="shared" si="2"/>
        <v>184607.31707317074</v>
      </c>
      <c r="S11" s="43">
        <f t="shared" si="3"/>
        <v>4.2380008510828908</v>
      </c>
      <c r="T11" s="38">
        <v>0</v>
      </c>
      <c r="U11" s="5" t="s">
        <v>356</v>
      </c>
      <c r="V11" t="s">
        <v>397</v>
      </c>
      <c r="X11" t="s">
        <v>358</v>
      </c>
      <c r="Y11" s="6" t="s">
        <v>32</v>
      </c>
    </row>
    <row r="12" spans="1:45" x14ac:dyDescent="0.25">
      <c r="A12" t="s">
        <v>414</v>
      </c>
      <c r="B12" t="s">
        <v>415</v>
      </c>
      <c r="C12" s="24">
        <v>44627</v>
      </c>
      <c r="D12" s="14">
        <v>270000</v>
      </c>
      <c r="E12" t="s">
        <v>27</v>
      </c>
      <c r="F12" t="s">
        <v>28</v>
      </c>
      <c r="G12" s="14">
        <v>270000</v>
      </c>
      <c r="H12" s="14">
        <v>119700</v>
      </c>
      <c r="I12" s="19">
        <f t="shared" si="0"/>
        <v>44.333333333333336</v>
      </c>
      <c r="J12" s="14">
        <v>239413</v>
      </c>
      <c r="K12" s="14">
        <f>G12-179413</f>
        <v>90587</v>
      </c>
      <c r="L12" s="14">
        <v>60000</v>
      </c>
      <c r="M12" s="29">
        <v>0</v>
      </c>
      <c r="N12" s="33">
        <v>0</v>
      </c>
      <c r="O12" s="38">
        <v>0.23</v>
      </c>
      <c r="P12" s="38">
        <v>0.23</v>
      </c>
      <c r="Q12" s="14" t="e">
        <f t="shared" si="1"/>
        <v>#DIV/0!</v>
      </c>
      <c r="R12" s="14">
        <f t="shared" si="2"/>
        <v>393856.52173913043</v>
      </c>
      <c r="S12" s="43">
        <f t="shared" si="3"/>
        <v>9.0417016009901392</v>
      </c>
      <c r="T12" s="38">
        <v>0</v>
      </c>
      <c r="U12" s="5" t="s">
        <v>356</v>
      </c>
      <c r="V12" t="s">
        <v>416</v>
      </c>
      <c r="X12" t="s">
        <v>358</v>
      </c>
      <c r="Y12" s="6" t="s">
        <v>32</v>
      </c>
    </row>
    <row r="13" spans="1:45" x14ac:dyDescent="0.25">
      <c r="A13" t="s">
        <v>354</v>
      </c>
      <c r="B13" t="s">
        <v>355</v>
      </c>
      <c r="C13" s="24">
        <v>44804</v>
      </c>
      <c r="D13" s="14">
        <v>210000</v>
      </c>
      <c r="E13" t="s">
        <v>27</v>
      </c>
      <c r="F13" t="s">
        <v>28</v>
      </c>
      <c r="G13" s="14">
        <v>210000</v>
      </c>
      <c r="H13" s="14">
        <v>93900</v>
      </c>
      <c r="I13" s="19">
        <f t="shared" si="0"/>
        <v>44.714285714285715</v>
      </c>
      <c r="J13" s="14">
        <v>187702</v>
      </c>
      <c r="K13" s="14">
        <f>G13-157702</f>
        <v>52298</v>
      </c>
      <c r="L13" s="14">
        <v>30000</v>
      </c>
      <c r="M13" s="29">
        <v>0</v>
      </c>
      <c r="N13" s="33">
        <v>0</v>
      </c>
      <c r="O13" s="38">
        <v>0.21</v>
      </c>
      <c r="P13" s="38">
        <v>0.21</v>
      </c>
      <c r="Q13" s="14" t="e">
        <f t="shared" si="1"/>
        <v>#DIV/0!</v>
      </c>
      <c r="R13" s="14">
        <f t="shared" si="2"/>
        <v>249038.09523809524</v>
      </c>
      <c r="S13" s="43">
        <f t="shared" si="3"/>
        <v>5.7171279898552623</v>
      </c>
      <c r="T13" s="38">
        <v>0</v>
      </c>
      <c r="U13" s="5" t="s">
        <v>356</v>
      </c>
      <c r="V13" t="s">
        <v>357</v>
      </c>
      <c r="X13" t="s">
        <v>358</v>
      </c>
      <c r="Y13" s="6" t="s">
        <v>32</v>
      </c>
    </row>
    <row r="14" spans="1:45" x14ac:dyDescent="0.25">
      <c r="A14" t="s">
        <v>411</v>
      </c>
      <c r="B14" t="s">
        <v>412</v>
      </c>
      <c r="C14" s="24">
        <v>44496</v>
      </c>
      <c r="D14" s="14">
        <v>235000</v>
      </c>
      <c r="E14" t="s">
        <v>27</v>
      </c>
      <c r="F14" t="s">
        <v>28</v>
      </c>
      <c r="G14" s="14">
        <v>235000</v>
      </c>
      <c r="H14" s="14">
        <v>105900</v>
      </c>
      <c r="I14" s="19">
        <f t="shared" si="0"/>
        <v>45.063829787234042</v>
      </c>
      <c r="J14" s="14">
        <v>211768</v>
      </c>
      <c r="K14" s="14">
        <f>G14-151768</f>
        <v>83232</v>
      </c>
      <c r="L14" s="14">
        <v>60000</v>
      </c>
      <c r="M14" s="29">
        <v>0</v>
      </c>
      <c r="N14" s="33">
        <v>0</v>
      </c>
      <c r="O14" s="38">
        <v>0.23</v>
      </c>
      <c r="P14" s="38">
        <v>0.23</v>
      </c>
      <c r="Q14" s="14" t="e">
        <f t="shared" si="1"/>
        <v>#DIV/0!</v>
      </c>
      <c r="R14" s="14">
        <f t="shared" si="2"/>
        <v>361878.26086956519</v>
      </c>
      <c r="S14" s="43">
        <f t="shared" si="3"/>
        <v>8.3075817463169237</v>
      </c>
      <c r="T14" s="38">
        <v>0</v>
      </c>
      <c r="U14" s="5" t="s">
        <v>356</v>
      </c>
      <c r="V14" t="s">
        <v>413</v>
      </c>
      <c r="X14" t="s">
        <v>358</v>
      </c>
      <c r="Y14" s="6" t="s">
        <v>32</v>
      </c>
    </row>
    <row r="15" spans="1:45" x14ac:dyDescent="0.25">
      <c r="A15" t="s">
        <v>420</v>
      </c>
      <c r="B15" t="s">
        <v>421</v>
      </c>
      <c r="C15" s="24">
        <v>44742</v>
      </c>
      <c r="D15" s="14">
        <v>278250</v>
      </c>
      <c r="E15" t="s">
        <v>27</v>
      </c>
      <c r="F15" t="s">
        <v>28</v>
      </c>
      <c r="G15" s="14">
        <v>278250</v>
      </c>
      <c r="H15" s="14">
        <v>129700</v>
      </c>
      <c r="I15" s="19">
        <f t="shared" si="0"/>
        <v>46.612758310871513</v>
      </c>
      <c r="J15" s="14">
        <v>259405</v>
      </c>
      <c r="K15" s="14">
        <f>G15-199405</f>
        <v>78845</v>
      </c>
      <c r="L15" s="14">
        <v>60000</v>
      </c>
      <c r="M15" s="29">
        <v>0</v>
      </c>
      <c r="N15" s="33">
        <v>0</v>
      </c>
      <c r="O15" s="38">
        <v>0.31</v>
      </c>
      <c r="P15" s="38">
        <v>0.31</v>
      </c>
      <c r="Q15" s="14" t="e">
        <f t="shared" si="1"/>
        <v>#DIV/0!</v>
      </c>
      <c r="R15" s="14">
        <f t="shared" si="2"/>
        <v>254338.70967741936</v>
      </c>
      <c r="S15" s="43">
        <f t="shared" si="3"/>
        <v>5.8388133534761106</v>
      </c>
      <c r="T15" s="38">
        <v>0</v>
      </c>
      <c r="U15" s="5" t="s">
        <v>356</v>
      </c>
      <c r="V15" t="s">
        <v>422</v>
      </c>
      <c r="X15" t="s">
        <v>358</v>
      </c>
      <c r="Y15" s="6" t="s">
        <v>32</v>
      </c>
    </row>
    <row r="16" spans="1:45" x14ac:dyDescent="0.25">
      <c r="A16" t="s">
        <v>417</v>
      </c>
      <c r="B16" t="s">
        <v>418</v>
      </c>
      <c r="C16" s="24">
        <v>44400</v>
      </c>
      <c r="D16" s="14">
        <v>257500</v>
      </c>
      <c r="E16" t="s">
        <v>27</v>
      </c>
      <c r="F16" t="s">
        <v>28</v>
      </c>
      <c r="G16" s="14">
        <v>257500</v>
      </c>
      <c r="H16" s="14">
        <v>122800</v>
      </c>
      <c r="I16" s="19">
        <f t="shared" si="0"/>
        <v>47.689320388349515</v>
      </c>
      <c r="J16" s="14">
        <v>245555</v>
      </c>
      <c r="K16" s="14">
        <f>G16-185555</f>
        <v>71945</v>
      </c>
      <c r="L16" s="14">
        <v>60000</v>
      </c>
      <c r="M16" s="29">
        <v>0</v>
      </c>
      <c r="N16" s="33">
        <v>0</v>
      </c>
      <c r="O16" s="38">
        <v>0.36</v>
      </c>
      <c r="P16" s="38">
        <v>0.36</v>
      </c>
      <c r="Q16" s="14" t="e">
        <f t="shared" si="1"/>
        <v>#DIV/0!</v>
      </c>
      <c r="R16" s="14">
        <f t="shared" si="2"/>
        <v>199847.22222222222</v>
      </c>
      <c r="S16" s="43">
        <f t="shared" si="3"/>
        <v>4.5878609325579021</v>
      </c>
      <c r="T16" s="38">
        <v>0</v>
      </c>
      <c r="U16" s="5" t="s">
        <v>356</v>
      </c>
      <c r="V16" t="s">
        <v>419</v>
      </c>
      <c r="X16" t="s">
        <v>358</v>
      </c>
      <c r="Y16" s="6" t="s">
        <v>32</v>
      </c>
    </row>
    <row r="17" spans="1:25" x14ac:dyDescent="0.25">
      <c r="A17" t="s">
        <v>392</v>
      </c>
      <c r="B17" t="s">
        <v>393</v>
      </c>
      <c r="C17" s="24">
        <v>44827</v>
      </c>
      <c r="D17" s="14">
        <v>219000</v>
      </c>
      <c r="E17" t="s">
        <v>27</v>
      </c>
      <c r="F17" t="s">
        <v>28</v>
      </c>
      <c r="G17" s="14">
        <v>219000</v>
      </c>
      <c r="H17" s="14">
        <v>104900</v>
      </c>
      <c r="I17" s="19">
        <f t="shared" si="0"/>
        <v>47.899543378995432</v>
      </c>
      <c r="J17" s="14">
        <v>209860</v>
      </c>
      <c r="K17" s="14">
        <f>G17-157860</f>
        <v>61140</v>
      </c>
      <c r="L17" s="14">
        <v>52000</v>
      </c>
      <c r="M17" s="29">
        <v>0</v>
      </c>
      <c r="N17" s="33">
        <v>0</v>
      </c>
      <c r="O17" s="38">
        <v>0.41</v>
      </c>
      <c r="P17" s="38">
        <v>0.41</v>
      </c>
      <c r="Q17" s="14" t="e">
        <f t="shared" si="1"/>
        <v>#DIV/0!</v>
      </c>
      <c r="R17" s="14">
        <f t="shared" si="2"/>
        <v>149121.95121951221</v>
      </c>
      <c r="S17" s="43">
        <f t="shared" si="3"/>
        <v>3.4233689444332462</v>
      </c>
      <c r="T17" s="38">
        <v>0</v>
      </c>
      <c r="U17" s="5" t="s">
        <v>356</v>
      </c>
      <c r="V17" t="s">
        <v>394</v>
      </c>
      <c r="X17" t="s">
        <v>358</v>
      </c>
      <c r="Y17" s="6" t="s">
        <v>32</v>
      </c>
    </row>
    <row r="18" spans="1:25" x14ac:dyDescent="0.25">
      <c r="A18" t="s">
        <v>405</v>
      </c>
      <c r="B18" t="s">
        <v>406</v>
      </c>
      <c r="C18" s="24">
        <v>44974</v>
      </c>
      <c r="D18" s="14">
        <v>212500</v>
      </c>
      <c r="E18" t="s">
        <v>27</v>
      </c>
      <c r="F18" t="s">
        <v>28</v>
      </c>
      <c r="G18" s="14">
        <v>212500</v>
      </c>
      <c r="H18" s="14">
        <v>103300</v>
      </c>
      <c r="I18" s="19">
        <f t="shared" si="0"/>
        <v>48.611764705882351</v>
      </c>
      <c r="J18" s="14">
        <v>206561</v>
      </c>
      <c r="K18" s="14">
        <f>G18-146561</f>
        <v>65939</v>
      </c>
      <c r="L18" s="14">
        <v>60000</v>
      </c>
      <c r="M18" s="29">
        <v>0</v>
      </c>
      <c r="N18" s="33">
        <v>0</v>
      </c>
      <c r="O18" s="38">
        <v>0.3</v>
      </c>
      <c r="P18" s="38">
        <v>0.3</v>
      </c>
      <c r="Q18" s="14" t="e">
        <f t="shared" si="1"/>
        <v>#DIV/0!</v>
      </c>
      <c r="R18" s="14">
        <f t="shared" si="2"/>
        <v>219796.66666666669</v>
      </c>
      <c r="S18" s="43">
        <f t="shared" si="3"/>
        <v>5.0458371594735238</v>
      </c>
      <c r="T18" s="38">
        <v>0</v>
      </c>
      <c r="U18" s="5" t="s">
        <v>356</v>
      </c>
      <c r="V18" t="s">
        <v>407</v>
      </c>
      <c r="X18" t="s">
        <v>358</v>
      </c>
      <c r="Y18" s="6" t="s">
        <v>32</v>
      </c>
    </row>
    <row r="19" spans="1:25" x14ac:dyDescent="0.25">
      <c r="A19" t="s">
        <v>359</v>
      </c>
      <c r="B19" t="s">
        <v>360</v>
      </c>
      <c r="C19" s="24">
        <v>45051</v>
      </c>
      <c r="D19" s="14">
        <v>197000</v>
      </c>
      <c r="E19" t="s">
        <v>27</v>
      </c>
      <c r="F19" t="s">
        <v>28</v>
      </c>
      <c r="G19" s="14">
        <v>197000</v>
      </c>
      <c r="H19" s="14">
        <v>101600</v>
      </c>
      <c r="I19" s="19">
        <f t="shared" si="0"/>
        <v>51.573604060913702</v>
      </c>
      <c r="J19" s="14">
        <v>203220</v>
      </c>
      <c r="K19" s="14">
        <f>G19-173220</f>
        <v>23780</v>
      </c>
      <c r="L19" s="14">
        <v>30000</v>
      </c>
      <c r="M19" s="29">
        <v>0</v>
      </c>
      <c r="N19" s="33">
        <v>0</v>
      </c>
      <c r="O19" s="38">
        <v>0.17</v>
      </c>
      <c r="P19" s="38">
        <v>0.17</v>
      </c>
      <c r="Q19" s="14" t="e">
        <f t="shared" si="1"/>
        <v>#DIV/0!</v>
      </c>
      <c r="R19" s="14">
        <f t="shared" si="2"/>
        <v>139882.35294117645</v>
      </c>
      <c r="S19" s="43">
        <f t="shared" si="3"/>
        <v>3.2112569545724621</v>
      </c>
      <c r="T19" s="38">
        <v>0</v>
      </c>
      <c r="U19" s="5" t="s">
        <v>356</v>
      </c>
      <c r="V19" t="s">
        <v>361</v>
      </c>
      <c r="X19" t="s">
        <v>358</v>
      </c>
      <c r="Y19" s="6" t="s">
        <v>32</v>
      </c>
    </row>
    <row r="20" spans="1:25" x14ac:dyDescent="0.25">
      <c r="A20" t="s">
        <v>408</v>
      </c>
      <c r="B20" t="s">
        <v>409</v>
      </c>
      <c r="C20" s="24">
        <v>44963</v>
      </c>
      <c r="D20" s="14">
        <v>260000</v>
      </c>
      <c r="E20" t="s">
        <v>27</v>
      </c>
      <c r="F20" t="s">
        <v>28</v>
      </c>
      <c r="G20" s="14">
        <v>260000</v>
      </c>
      <c r="H20" s="14">
        <v>137200</v>
      </c>
      <c r="I20" s="19">
        <f t="shared" si="0"/>
        <v>52.769230769230766</v>
      </c>
      <c r="J20" s="14">
        <v>274416</v>
      </c>
      <c r="K20" s="14">
        <f>G20-214416</f>
        <v>45584</v>
      </c>
      <c r="L20" s="14">
        <v>60000</v>
      </c>
      <c r="M20" s="29">
        <v>0</v>
      </c>
      <c r="N20" s="33">
        <v>0</v>
      </c>
      <c r="O20" s="38">
        <v>0.25</v>
      </c>
      <c r="P20" s="38">
        <v>0.25</v>
      </c>
      <c r="Q20" s="14" t="e">
        <f t="shared" si="1"/>
        <v>#DIV/0!</v>
      </c>
      <c r="R20" s="14">
        <f t="shared" si="2"/>
        <v>182336</v>
      </c>
      <c r="S20" s="43">
        <f t="shared" si="3"/>
        <v>4.1858585858585862</v>
      </c>
      <c r="T20" s="38">
        <v>0</v>
      </c>
      <c r="U20" s="5" t="s">
        <v>356</v>
      </c>
      <c r="V20" t="s">
        <v>410</v>
      </c>
      <c r="X20" t="s">
        <v>358</v>
      </c>
      <c r="Y20" s="6" t="s">
        <v>32</v>
      </c>
    </row>
    <row r="21" spans="1:25" x14ac:dyDescent="0.25">
      <c r="A21" t="s">
        <v>401</v>
      </c>
      <c r="B21" t="s">
        <v>402</v>
      </c>
      <c r="C21" s="24">
        <v>44470</v>
      </c>
      <c r="D21" s="14">
        <v>155000</v>
      </c>
      <c r="E21" t="s">
        <v>27</v>
      </c>
      <c r="F21" t="s">
        <v>28</v>
      </c>
      <c r="G21" s="14">
        <v>155000</v>
      </c>
      <c r="H21" s="14">
        <v>82100</v>
      </c>
      <c r="I21" s="19">
        <f t="shared" si="0"/>
        <v>52.967741935483872</v>
      </c>
      <c r="J21" s="14">
        <v>164225</v>
      </c>
      <c r="K21" s="14">
        <f>G21-112225</f>
        <v>42775</v>
      </c>
      <c r="L21" s="14">
        <v>52000</v>
      </c>
      <c r="M21" s="29">
        <v>0</v>
      </c>
      <c r="N21" s="33">
        <v>0</v>
      </c>
      <c r="O21" s="38">
        <v>0.41</v>
      </c>
      <c r="P21" s="38">
        <v>0.41</v>
      </c>
      <c r="Q21" s="14" t="e">
        <f t="shared" si="1"/>
        <v>#DIV/0!</v>
      </c>
      <c r="R21" s="14">
        <f t="shared" si="2"/>
        <v>104329.26829268293</v>
      </c>
      <c r="S21" s="43">
        <f t="shared" si="3"/>
        <v>2.3950704383076888</v>
      </c>
      <c r="T21" s="38">
        <v>0</v>
      </c>
      <c r="U21" s="5" t="s">
        <v>356</v>
      </c>
      <c r="V21" t="s">
        <v>403</v>
      </c>
      <c r="X21" t="s">
        <v>358</v>
      </c>
      <c r="Y21" s="6" t="s">
        <v>32</v>
      </c>
    </row>
    <row r="22" spans="1:25" x14ac:dyDescent="0.25">
      <c r="A22" t="s">
        <v>435</v>
      </c>
      <c r="B22" t="s">
        <v>436</v>
      </c>
      <c r="C22" s="24">
        <v>44365</v>
      </c>
      <c r="D22" s="14">
        <v>206000</v>
      </c>
      <c r="E22" t="s">
        <v>27</v>
      </c>
      <c r="F22" t="s">
        <v>28</v>
      </c>
      <c r="G22" s="14">
        <v>206000</v>
      </c>
      <c r="H22" s="14">
        <v>114300</v>
      </c>
      <c r="I22" s="19">
        <f t="shared" si="0"/>
        <v>55.485436893203889</v>
      </c>
      <c r="J22" s="14">
        <v>228694</v>
      </c>
      <c r="K22" s="14">
        <f>G22-168694</f>
        <v>37306</v>
      </c>
      <c r="L22" s="14">
        <v>60000</v>
      </c>
      <c r="M22" s="29">
        <v>0</v>
      </c>
      <c r="N22" s="33">
        <v>0</v>
      </c>
      <c r="O22" s="38">
        <v>0.44</v>
      </c>
      <c r="P22" s="38">
        <v>0.44</v>
      </c>
      <c r="Q22" s="14" t="e">
        <f t="shared" si="1"/>
        <v>#DIV/0!</v>
      </c>
      <c r="R22" s="14">
        <f t="shared" si="2"/>
        <v>84786.363636363632</v>
      </c>
      <c r="S22" s="43">
        <f t="shared" si="3"/>
        <v>1.9464270807246014</v>
      </c>
      <c r="T22" s="38">
        <v>0</v>
      </c>
      <c r="U22" s="5" t="s">
        <v>356</v>
      </c>
      <c r="V22" t="s">
        <v>437</v>
      </c>
      <c r="X22" t="s">
        <v>358</v>
      </c>
      <c r="Y22" s="6" t="s">
        <v>32</v>
      </c>
    </row>
    <row r="23" spans="1:25" x14ac:dyDescent="0.25">
      <c r="A23" t="s">
        <v>426</v>
      </c>
      <c r="B23" t="s">
        <v>427</v>
      </c>
      <c r="C23" s="24">
        <v>44379</v>
      </c>
      <c r="D23" s="14">
        <v>264000</v>
      </c>
      <c r="E23" t="s">
        <v>27</v>
      </c>
      <c r="F23" t="s">
        <v>28</v>
      </c>
      <c r="G23" s="14">
        <v>264000</v>
      </c>
      <c r="H23" s="14">
        <v>147200</v>
      </c>
      <c r="I23" s="19">
        <f t="shared" si="0"/>
        <v>55.757575757575765</v>
      </c>
      <c r="J23" s="14">
        <v>294321</v>
      </c>
      <c r="K23" s="14">
        <f>G23-234321</f>
        <v>29679</v>
      </c>
      <c r="L23" s="14">
        <v>60000</v>
      </c>
      <c r="M23" s="29">
        <v>0</v>
      </c>
      <c r="N23" s="33">
        <v>0</v>
      </c>
      <c r="O23" s="38">
        <v>0.24</v>
      </c>
      <c r="P23" s="38">
        <v>0.24</v>
      </c>
      <c r="Q23" s="14" t="e">
        <f t="shared" si="1"/>
        <v>#DIV/0!</v>
      </c>
      <c r="R23" s="14">
        <f t="shared" si="2"/>
        <v>123662.5</v>
      </c>
      <c r="S23" s="43">
        <f t="shared" si="3"/>
        <v>2.8389003673094582</v>
      </c>
      <c r="T23" s="38">
        <v>0</v>
      </c>
      <c r="U23" s="5" t="s">
        <v>356</v>
      </c>
      <c r="V23" t="s">
        <v>428</v>
      </c>
      <c r="X23" t="s">
        <v>358</v>
      </c>
      <c r="Y23" s="6" t="s">
        <v>32</v>
      </c>
    </row>
    <row r="24" spans="1:25" x14ac:dyDescent="0.25">
      <c r="A24" t="s">
        <v>432</v>
      </c>
      <c r="B24" t="s">
        <v>433</v>
      </c>
      <c r="C24" s="24">
        <v>44473</v>
      </c>
      <c r="D24" s="14">
        <v>246000</v>
      </c>
      <c r="E24" t="s">
        <v>27</v>
      </c>
      <c r="F24" t="s">
        <v>28</v>
      </c>
      <c r="G24" s="14">
        <v>246000</v>
      </c>
      <c r="H24" s="14">
        <v>137600</v>
      </c>
      <c r="I24" s="19">
        <f t="shared" si="0"/>
        <v>55.934959349593491</v>
      </c>
      <c r="J24" s="14">
        <v>275239</v>
      </c>
      <c r="K24" s="14">
        <f>G24-215239</f>
        <v>30761</v>
      </c>
      <c r="L24" s="14">
        <v>60000</v>
      </c>
      <c r="M24" s="29">
        <v>0</v>
      </c>
      <c r="N24" s="33">
        <v>0</v>
      </c>
      <c r="O24" s="38">
        <v>0.32</v>
      </c>
      <c r="P24" s="38">
        <v>0.32</v>
      </c>
      <c r="Q24" s="14" t="e">
        <f t="shared" si="1"/>
        <v>#DIV/0!</v>
      </c>
      <c r="R24" s="14">
        <f t="shared" si="2"/>
        <v>96128.125</v>
      </c>
      <c r="S24" s="43">
        <f t="shared" si="3"/>
        <v>2.2067980945821857</v>
      </c>
      <c r="T24" s="38">
        <v>0</v>
      </c>
      <c r="U24" s="5" t="s">
        <v>356</v>
      </c>
      <c r="V24" t="s">
        <v>434</v>
      </c>
      <c r="X24" t="s">
        <v>358</v>
      </c>
      <c r="Y24" s="6" t="s">
        <v>32</v>
      </c>
    </row>
    <row r="25" spans="1:25" x14ac:dyDescent="0.25">
      <c r="A25" t="s">
        <v>429</v>
      </c>
      <c r="B25" t="s">
        <v>430</v>
      </c>
      <c r="C25" s="24">
        <v>44333</v>
      </c>
      <c r="D25" s="14">
        <v>260000</v>
      </c>
      <c r="E25" t="s">
        <v>27</v>
      </c>
      <c r="F25" t="s">
        <v>28</v>
      </c>
      <c r="G25" s="14">
        <v>260000</v>
      </c>
      <c r="H25" s="14">
        <v>145900</v>
      </c>
      <c r="I25" s="19">
        <f t="shared" si="0"/>
        <v>56.115384615384613</v>
      </c>
      <c r="J25" s="14">
        <v>291883</v>
      </c>
      <c r="K25" s="14">
        <f>G25-231883</f>
        <v>28117</v>
      </c>
      <c r="L25" s="14">
        <v>60000</v>
      </c>
      <c r="M25" s="29">
        <v>0</v>
      </c>
      <c r="N25" s="33">
        <v>0</v>
      </c>
      <c r="O25" s="38">
        <v>0.27</v>
      </c>
      <c r="P25" s="38">
        <v>0.27</v>
      </c>
      <c r="Q25" s="14" t="e">
        <f t="shared" si="1"/>
        <v>#DIV/0!</v>
      </c>
      <c r="R25" s="14">
        <f t="shared" si="2"/>
        <v>104137.03703703704</v>
      </c>
      <c r="S25" s="43">
        <f t="shared" si="3"/>
        <v>2.3906574159099412</v>
      </c>
      <c r="T25" s="38">
        <v>0</v>
      </c>
      <c r="U25" s="5" t="s">
        <v>356</v>
      </c>
      <c r="V25" t="s">
        <v>431</v>
      </c>
      <c r="X25" t="s">
        <v>358</v>
      </c>
      <c r="Y25" s="6" t="s">
        <v>32</v>
      </c>
    </row>
    <row r="26" spans="1:25" x14ac:dyDescent="0.25">
      <c r="A26" t="s">
        <v>575</v>
      </c>
      <c r="B26" t="s">
        <v>576</v>
      </c>
      <c r="C26" s="24">
        <v>44662</v>
      </c>
      <c r="D26" s="14">
        <v>75000</v>
      </c>
      <c r="E26" t="s">
        <v>27</v>
      </c>
      <c r="F26" t="s">
        <v>28</v>
      </c>
      <c r="G26" s="14">
        <v>75000</v>
      </c>
      <c r="H26" s="14">
        <v>49100</v>
      </c>
      <c r="I26" s="19">
        <f t="shared" si="0"/>
        <v>65.466666666666669</v>
      </c>
      <c r="J26" s="14">
        <v>98162</v>
      </c>
      <c r="K26" s="14">
        <f>G26-68162</f>
        <v>6838</v>
      </c>
      <c r="L26" s="14">
        <v>30000</v>
      </c>
      <c r="M26" s="29">
        <v>0</v>
      </c>
      <c r="N26" s="33">
        <v>0</v>
      </c>
      <c r="O26" s="38">
        <v>0.23</v>
      </c>
      <c r="P26" s="38">
        <v>0.23</v>
      </c>
      <c r="Q26" s="14" t="e">
        <f t="shared" si="1"/>
        <v>#DIV/0!</v>
      </c>
      <c r="R26" s="14">
        <f t="shared" si="2"/>
        <v>29730.434782608696</v>
      </c>
      <c r="S26" s="43">
        <f t="shared" si="3"/>
        <v>0.68251686828761926</v>
      </c>
      <c r="T26" s="38">
        <v>0</v>
      </c>
      <c r="U26" s="5" t="s">
        <v>29</v>
      </c>
      <c r="V26" t="s">
        <v>577</v>
      </c>
      <c r="X26" t="s">
        <v>358</v>
      </c>
      <c r="Y26" s="6" t="s">
        <v>32</v>
      </c>
    </row>
    <row r="27" spans="1:25" x14ac:dyDescent="0.25">
      <c r="A27" t="s">
        <v>335</v>
      </c>
      <c r="B27" t="s">
        <v>336</v>
      </c>
      <c r="C27" s="24">
        <v>44936</v>
      </c>
      <c r="D27" s="14">
        <v>299900</v>
      </c>
      <c r="E27" t="s">
        <v>27</v>
      </c>
      <c r="F27" t="s">
        <v>28</v>
      </c>
      <c r="G27" s="14">
        <v>299900</v>
      </c>
      <c r="H27" s="14">
        <v>76000</v>
      </c>
      <c r="I27" s="19">
        <f t="shared" si="0"/>
        <v>25.341780593531176</v>
      </c>
      <c r="J27" s="14">
        <v>152086</v>
      </c>
      <c r="K27" s="14">
        <f>G27-114666</f>
        <v>185234</v>
      </c>
      <c r="L27" s="14">
        <v>37420</v>
      </c>
      <c r="M27" s="29">
        <v>0</v>
      </c>
      <c r="N27" s="33">
        <v>0</v>
      </c>
      <c r="O27" s="38">
        <v>4.84</v>
      </c>
      <c r="P27" s="38">
        <v>4.84</v>
      </c>
      <c r="Q27" s="14" t="e">
        <f t="shared" si="1"/>
        <v>#DIV/0!</v>
      </c>
      <c r="R27" s="14">
        <f t="shared" si="2"/>
        <v>38271.487603305788</v>
      </c>
      <c r="S27" s="43">
        <f t="shared" si="3"/>
        <v>0.87859246104926048</v>
      </c>
      <c r="T27" s="38">
        <v>0</v>
      </c>
      <c r="U27" s="5" t="s">
        <v>29</v>
      </c>
      <c r="V27" t="s">
        <v>337</v>
      </c>
      <c r="X27" t="s">
        <v>31</v>
      </c>
      <c r="Y27" s="6" t="s">
        <v>32</v>
      </c>
    </row>
    <row r="28" spans="1:25" x14ac:dyDescent="0.25">
      <c r="A28" t="s">
        <v>326</v>
      </c>
      <c r="B28" t="s">
        <v>327</v>
      </c>
      <c r="C28" s="24">
        <v>44620</v>
      </c>
      <c r="D28" s="14">
        <v>430000</v>
      </c>
      <c r="E28" t="s">
        <v>27</v>
      </c>
      <c r="F28" t="s">
        <v>28</v>
      </c>
      <c r="G28" s="14">
        <v>430000</v>
      </c>
      <c r="H28" s="14">
        <v>116300</v>
      </c>
      <c r="I28" s="19">
        <f t="shared" si="0"/>
        <v>27.046511627906977</v>
      </c>
      <c r="J28" s="14">
        <v>232512</v>
      </c>
      <c r="K28" s="14">
        <f>G28-174762</f>
        <v>255238</v>
      </c>
      <c r="L28" s="14">
        <v>57750</v>
      </c>
      <c r="M28" s="29">
        <v>0</v>
      </c>
      <c r="N28" s="33">
        <v>0</v>
      </c>
      <c r="O28" s="38">
        <v>1.5</v>
      </c>
      <c r="P28" s="38">
        <v>1.5</v>
      </c>
      <c r="Q28" s="14" t="e">
        <f t="shared" si="1"/>
        <v>#DIV/0!</v>
      </c>
      <c r="R28" s="14">
        <f t="shared" si="2"/>
        <v>170158.66666666666</v>
      </c>
      <c r="S28" s="43">
        <f t="shared" si="3"/>
        <v>3.9063054790327514</v>
      </c>
      <c r="T28" s="38">
        <v>0</v>
      </c>
      <c r="U28" s="5" t="s">
        <v>29</v>
      </c>
      <c r="V28" t="s">
        <v>328</v>
      </c>
      <c r="X28" t="s">
        <v>31</v>
      </c>
      <c r="Y28" s="6" t="s">
        <v>32</v>
      </c>
    </row>
    <row r="29" spans="1:25" x14ac:dyDescent="0.25">
      <c r="A29" t="s">
        <v>60</v>
      </c>
      <c r="B29" t="s">
        <v>61</v>
      </c>
      <c r="C29" s="24">
        <v>44708</v>
      </c>
      <c r="D29" s="14">
        <v>255000</v>
      </c>
      <c r="E29" t="s">
        <v>27</v>
      </c>
      <c r="F29" t="s">
        <v>28</v>
      </c>
      <c r="G29" s="14">
        <v>255000</v>
      </c>
      <c r="H29" s="14">
        <v>73100</v>
      </c>
      <c r="I29" s="19">
        <f t="shared" si="0"/>
        <v>28.666666666666668</v>
      </c>
      <c r="J29" s="14">
        <v>146135</v>
      </c>
      <c r="K29" s="14">
        <f>G29-119295</f>
        <v>135705</v>
      </c>
      <c r="L29" s="14">
        <v>26840</v>
      </c>
      <c r="M29" s="29">
        <v>0</v>
      </c>
      <c r="N29" s="33">
        <v>0</v>
      </c>
      <c r="O29" s="38">
        <v>0.61</v>
      </c>
      <c r="P29" s="38">
        <v>0.61</v>
      </c>
      <c r="Q29" s="14" t="e">
        <f t="shared" si="1"/>
        <v>#DIV/0!</v>
      </c>
      <c r="R29" s="14">
        <f t="shared" si="2"/>
        <v>222467.21311475409</v>
      </c>
      <c r="S29" s="43">
        <f t="shared" si="3"/>
        <v>5.107144470035677</v>
      </c>
      <c r="T29" s="38">
        <v>0</v>
      </c>
      <c r="U29" s="5" t="s">
        <v>29</v>
      </c>
      <c r="V29" t="s">
        <v>62</v>
      </c>
      <c r="X29" t="s">
        <v>31</v>
      </c>
      <c r="Y29" s="6" t="s">
        <v>32</v>
      </c>
    </row>
    <row r="30" spans="1:25" x14ac:dyDescent="0.25">
      <c r="A30" t="s">
        <v>329</v>
      </c>
      <c r="B30" t="s">
        <v>330</v>
      </c>
      <c r="C30" s="24">
        <v>45070</v>
      </c>
      <c r="D30" s="14">
        <v>220000</v>
      </c>
      <c r="E30" t="s">
        <v>27</v>
      </c>
      <c r="F30" t="s">
        <v>28</v>
      </c>
      <c r="G30" s="14">
        <v>220000</v>
      </c>
      <c r="H30" s="14">
        <v>65300</v>
      </c>
      <c r="I30" s="19">
        <f t="shared" si="0"/>
        <v>29.68181818181818</v>
      </c>
      <c r="J30" s="14">
        <v>130600</v>
      </c>
      <c r="K30" s="14">
        <f>G30-0</f>
        <v>220000</v>
      </c>
      <c r="L30" s="14">
        <v>130600</v>
      </c>
      <c r="M30" s="29">
        <v>0</v>
      </c>
      <c r="N30" s="33">
        <v>0</v>
      </c>
      <c r="O30" s="38">
        <v>42.4</v>
      </c>
      <c r="P30" s="38">
        <v>42.4</v>
      </c>
      <c r="Q30" s="14" t="e">
        <f t="shared" si="1"/>
        <v>#DIV/0!</v>
      </c>
      <c r="R30" s="14">
        <f t="shared" si="2"/>
        <v>5188.6792452830186</v>
      </c>
      <c r="S30" s="43">
        <f t="shared" si="3"/>
        <v>0.119115685153421</v>
      </c>
      <c r="T30" s="38">
        <v>0</v>
      </c>
      <c r="U30" s="5" t="s">
        <v>29</v>
      </c>
      <c r="V30" t="s">
        <v>331</v>
      </c>
      <c r="X30" t="s">
        <v>31</v>
      </c>
      <c r="Y30" s="6" t="s">
        <v>113</v>
      </c>
    </row>
    <row r="31" spans="1:25" x14ac:dyDescent="0.25">
      <c r="A31" t="s">
        <v>98</v>
      </c>
      <c r="B31" t="s">
        <v>99</v>
      </c>
      <c r="C31" s="24">
        <v>45013</v>
      </c>
      <c r="D31" s="14">
        <v>188250</v>
      </c>
      <c r="E31" t="s">
        <v>27</v>
      </c>
      <c r="F31" t="s">
        <v>28</v>
      </c>
      <c r="G31" s="14">
        <v>188250</v>
      </c>
      <c r="H31" s="14">
        <v>58400</v>
      </c>
      <c r="I31" s="19">
        <f t="shared" si="0"/>
        <v>31.02257636122178</v>
      </c>
      <c r="J31" s="14">
        <v>116801</v>
      </c>
      <c r="K31" s="14">
        <f>G31-84241</f>
        <v>104009</v>
      </c>
      <c r="L31" s="14">
        <v>32560</v>
      </c>
      <c r="M31" s="29">
        <v>0</v>
      </c>
      <c r="N31" s="33">
        <v>0</v>
      </c>
      <c r="O31" s="38">
        <v>0.74</v>
      </c>
      <c r="P31" s="38">
        <v>0.74</v>
      </c>
      <c r="Q31" s="14" t="e">
        <f t="shared" si="1"/>
        <v>#DIV/0!</v>
      </c>
      <c r="R31" s="14">
        <f t="shared" si="2"/>
        <v>140552.70270270269</v>
      </c>
      <c r="S31" s="43">
        <f t="shared" si="3"/>
        <v>3.226646067555158</v>
      </c>
      <c r="T31" s="38">
        <v>0</v>
      </c>
      <c r="U31" s="5" t="s">
        <v>29</v>
      </c>
      <c r="V31" t="s">
        <v>100</v>
      </c>
      <c r="X31" t="s">
        <v>31</v>
      </c>
      <c r="Y31" s="6" t="s">
        <v>32</v>
      </c>
    </row>
    <row r="32" spans="1:25" x14ac:dyDescent="0.25">
      <c r="A32" t="s">
        <v>311</v>
      </c>
      <c r="B32" t="s">
        <v>312</v>
      </c>
      <c r="C32" s="24">
        <v>45014</v>
      </c>
      <c r="D32" s="14">
        <v>208500</v>
      </c>
      <c r="E32" t="s">
        <v>27</v>
      </c>
      <c r="F32" t="s">
        <v>28</v>
      </c>
      <c r="G32" s="14">
        <v>208500</v>
      </c>
      <c r="H32" s="14">
        <v>65600</v>
      </c>
      <c r="I32" s="19">
        <f t="shared" si="0"/>
        <v>31.462829736211027</v>
      </c>
      <c r="J32" s="14">
        <v>131253</v>
      </c>
      <c r="K32" s="14">
        <f>G32-69873</f>
        <v>138627</v>
      </c>
      <c r="L32" s="14">
        <v>61380</v>
      </c>
      <c r="M32" s="29">
        <v>0</v>
      </c>
      <c r="N32" s="33">
        <v>0</v>
      </c>
      <c r="O32" s="38">
        <v>1.72</v>
      </c>
      <c r="P32" s="38">
        <v>1.72</v>
      </c>
      <c r="Q32" s="14" t="e">
        <f t="shared" si="1"/>
        <v>#DIV/0!</v>
      </c>
      <c r="R32" s="14">
        <f t="shared" si="2"/>
        <v>80597.093023255817</v>
      </c>
      <c r="S32" s="43">
        <f t="shared" si="3"/>
        <v>1.8502546607726313</v>
      </c>
      <c r="T32" s="38">
        <v>0</v>
      </c>
      <c r="U32" s="5" t="s">
        <v>29</v>
      </c>
      <c r="V32" t="s">
        <v>313</v>
      </c>
      <c r="X32" t="s">
        <v>31</v>
      </c>
      <c r="Y32" s="6" t="s">
        <v>32</v>
      </c>
    </row>
    <row r="33" spans="1:25" x14ac:dyDescent="0.25">
      <c r="A33" t="s">
        <v>39</v>
      </c>
      <c r="B33" t="s">
        <v>40</v>
      </c>
      <c r="C33" s="24">
        <v>44482</v>
      </c>
      <c r="D33" s="14">
        <v>205000</v>
      </c>
      <c r="E33" t="s">
        <v>27</v>
      </c>
      <c r="F33" t="s">
        <v>28</v>
      </c>
      <c r="G33" s="14">
        <v>205000</v>
      </c>
      <c r="H33" s="14">
        <v>65800</v>
      </c>
      <c r="I33" s="19">
        <f t="shared" si="0"/>
        <v>32.09756097560976</v>
      </c>
      <c r="J33" s="14">
        <v>131501</v>
      </c>
      <c r="K33" s="14">
        <f>G33-98501</f>
        <v>106499</v>
      </c>
      <c r="L33" s="14">
        <v>33000</v>
      </c>
      <c r="M33" s="29">
        <v>0</v>
      </c>
      <c r="N33" s="33">
        <v>0</v>
      </c>
      <c r="O33" s="38">
        <v>0.75</v>
      </c>
      <c r="P33" s="38">
        <v>0.75</v>
      </c>
      <c r="Q33" s="14" t="e">
        <f t="shared" si="1"/>
        <v>#DIV/0!</v>
      </c>
      <c r="R33" s="14">
        <f t="shared" si="2"/>
        <v>141998.66666666666</v>
      </c>
      <c r="S33" s="43">
        <f t="shared" si="3"/>
        <v>3.2598408325681052</v>
      </c>
      <c r="T33" s="38">
        <v>0</v>
      </c>
      <c r="U33" s="5" t="s">
        <v>29</v>
      </c>
      <c r="V33" t="s">
        <v>41</v>
      </c>
      <c r="X33" t="s">
        <v>31</v>
      </c>
      <c r="Y33" s="6" t="s">
        <v>32</v>
      </c>
    </row>
    <row r="34" spans="1:25" x14ac:dyDescent="0.25">
      <c r="A34" t="s">
        <v>63</v>
      </c>
      <c r="B34" t="s">
        <v>64</v>
      </c>
      <c r="C34" s="24">
        <v>44330</v>
      </c>
      <c r="D34" s="14">
        <v>337000</v>
      </c>
      <c r="E34" t="s">
        <v>27</v>
      </c>
      <c r="F34" t="s">
        <v>28</v>
      </c>
      <c r="G34" s="14">
        <v>337000</v>
      </c>
      <c r="H34" s="14">
        <v>109300</v>
      </c>
      <c r="I34" s="19">
        <f t="shared" si="0"/>
        <v>32.433234421364986</v>
      </c>
      <c r="J34" s="14">
        <v>218619</v>
      </c>
      <c r="K34" s="14">
        <f>G34-131026</f>
        <v>205974</v>
      </c>
      <c r="L34" s="14">
        <v>87593</v>
      </c>
      <c r="M34" s="29">
        <v>0</v>
      </c>
      <c r="N34" s="33">
        <v>0</v>
      </c>
      <c r="O34" s="38">
        <v>7.77</v>
      </c>
      <c r="P34" s="38">
        <v>7.77</v>
      </c>
      <c r="Q34" s="14" t="e">
        <f t="shared" si="1"/>
        <v>#DIV/0!</v>
      </c>
      <c r="R34" s="14">
        <f t="shared" si="2"/>
        <v>26508.880308880311</v>
      </c>
      <c r="S34" s="43">
        <f t="shared" si="3"/>
        <v>0.60856015401469954</v>
      </c>
      <c r="T34" s="38">
        <v>0</v>
      </c>
      <c r="U34" s="5" t="s">
        <v>29</v>
      </c>
      <c r="V34" t="s">
        <v>65</v>
      </c>
      <c r="X34" t="s">
        <v>31</v>
      </c>
      <c r="Y34" s="6" t="s">
        <v>32</v>
      </c>
    </row>
    <row r="35" spans="1:25" x14ac:dyDescent="0.25">
      <c r="A35" t="s">
        <v>123</v>
      </c>
      <c r="B35" t="s">
        <v>124</v>
      </c>
      <c r="C35" s="24">
        <v>44992</v>
      </c>
      <c r="D35" s="14">
        <v>430000</v>
      </c>
      <c r="E35" t="s">
        <v>27</v>
      </c>
      <c r="F35" t="s">
        <v>28</v>
      </c>
      <c r="G35" s="14">
        <v>430000</v>
      </c>
      <c r="H35" s="14">
        <v>145000</v>
      </c>
      <c r="I35" s="19">
        <f t="shared" si="0"/>
        <v>33.720930232558139</v>
      </c>
      <c r="J35" s="14">
        <v>290005</v>
      </c>
      <c r="K35" s="14">
        <f>G35-215445</f>
        <v>214555</v>
      </c>
      <c r="L35" s="14">
        <v>74560</v>
      </c>
      <c r="M35" s="29">
        <v>0</v>
      </c>
      <c r="N35" s="33">
        <v>0</v>
      </c>
      <c r="O35" s="38">
        <v>4.5599999999999996</v>
      </c>
      <c r="P35" s="38">
        <v>4.5599999999999996</v>
      </c>
      <c r="Q35" s="14" t="e">
        <f t="shared" si="1"/>
        <v>#DIV/0!</v>
      </c>
      <c r="R35" s="14">
        <f t="shared" si="2"/>
        <v>47051.535087719305</v>
      </c>
      <c r="S35" s="43">
        <f t="shared" si="3"/>
        <v>1.0801546163388269</v>
      </c>
      <c r="T35" s="38">
        <v>0</v>
      </c>
      <c r="U35" s="5" t="s">
        <v>29</v>
      </c>
      <c r="V35" t="s">
        <v>125</v>
      </c>
      <c r="X35" t="s">
        <v>31</v>
      </c>
      <c r="Y35" s="6" t="s">
        <v>32</v>
      </c>
    </row>
    <row r="36" spans="1:25" x14ac:dyDescent="0.25">
      <c r="A36" t="s">
        <v>287</v>
      </c>
      <c r="B36" t="s">
        <v>288</v>
      </c>
      <c r="C36" s="24">
        <v>44697</v>
      </c>
      <c r="D36" s="14">
        <v>249000</v>
      </c>
      <c r="E36" t="s">
        <v>27</v>
      </c>
      <c r="F36" t="s">
        <v>28</v>
      </c>
      <c r="G36" s="14">
        <v>249000</v>
      </c>
      <c r="H36" s="14">
        <v>87300</v>
      </c>
      <c r="I36" s="19">
        <f t="shared" si="0"/>
        <v>35.060240963855421</v>
      </c>
      <c r="J36" s="14">
        <v>174539</v>
      </c>
      <c r="K36" s="14">
        <f>G36-130264</f>
        <v>118736</v>
      </c>
      <c r="L36" s="14">
        <v>44275</v>
      </c>
      <c r="M36" s="29">
        <v>0</v>
      </c>
      <c r="N36" s="33">
        <v>0</v>
      </c>
      <c r="O36" s="38">
        <v>1.01</v>
      </c>
      <c r="P36" s="38">
        <v>1.01</v>
      </c>
      <c r="Q36" s="14" t="e">
        <f t="shared" si="1"/>
        <v>#DIV/0!</v>
      </c>
      <c r="R36" s="14">
        <f t="shared" si="2"/>
        <v>117560.39603960396</v>
      </c>
      <c r="S36" s="43">
        <f t="shared" si="3"/>
        <v>2.6988153360790625</v>
      </c>
      <c r="T36" s="38">
        <v>0</v>
      </c>
      <c r="U36" s="5" t="s">
        <v>29</v>
      </c>
      <c r="V36" t="s">
        <v>289</v>
      </c>
      <c r="X36" t="s">
        <v>31</v>
      </c>
      <c r="Y36" s="6" t="s">
        <v>32</v>
      </c>
    </row>
    <row r="37" spans="1:25" x14ac:dyDescent="0.25">
      <c r="A37" t="s">
        <v>138</v>
      </c>
      <c r="B37" t="s">
        <v>139</v>
      </c>
      <c r="C37" s="24">
        <v>45082</v>
      </c>
      <c r="D37" s="14">
        <v>200000</v>
      </c>
      <c r="E37" t="s">
        <v>27</v>
      </c>
      <c r="F37" t="s">
        <v>28</v>
      </c>
      <c r="G37" s="14">
        <v>200000</v>
      </c>
      <c r="H37" s="14">
        <v>70400</v>
      </c>
      <c r="I37" s="19">
        <f t="shared" si="0"/>
        <v>35.199999999999996</v>
      </c>
      <c r="J37" s="14">
        <v>140775</v>
      </c>
      <c r="K37" s="14">
        <f>G37-114815</f>
        <v>85185</v>
      </c>
      <c r="L37" s="14">
        <v>25960</v>
      </c>
      <c r="M37" s="29">
        <v>0</v>
      </c>
      <c r="N37" s="33">
        <v>0</v>
      </c>
      <c r="O37" s="38">
        <v>0.59</v>
      </c>
      <c r="P37" s="38">
        <v>0.59</v>
      </c>
      <c r="Q37" s="14" t="e">
        <f t="shared" si="1"/>
        <v>#DIV/0!</v>
      </c>
      <c r="R37" s="14">
        <f t="shared" si="2"/>
        <v>144381.35593220338</v>
      </c>
      <c r="S37" s="43">
        <f t="shared" si="3"/>
        <v>3.3145398515198203</v>
      </c>
      <c r="T37" s="38">
        <v>0</v>
      </c>
      <c r="U37" s="5" t="s">
        <v>29</v>
      </c>
      <c r="V37" t="s">
        <v>140</v>
      </c>
      <c r="X37" t="s">
        <v>31</v>
      </c>
      <c r="Y37" s="6" t="s">
        <v>32</v>
      </c>
    </row>
    <row r="38" spans="1:25" x14ac:dyDescent="0.25">
      <c r="A38" t="s">
        <v>117</v>
      </c>
      <c r="B38" t="s">
        <v>118</v>
      </c>
      <c r="C38" s="24">
        <v>44911</v>
      </c>
      <c r="D38" s="14">
        <v>260000</v>
      </c>
      <c r="E38" t="s">
        <v>27</v>
      </c>
      <c r="F38" t="s">
        <v>28</v>
      </c>
      <c r="G38" s="14">
        <v>260000</v>
      </c>
      <c r="H38" s="14">
        <v>95900</v>
      </c>
      <c r="I38" s="19">
        <f t="shared" si="0"/>
        <v>36.88461538461538</v>
      </c>
      <c r="J38" s="14">
        <v>191772</v>
      </c>
      <c r="K38" s="14">
        <f>G38-138972</f>
        <v>121028</v>
      </c>
      <c r="L38" s="14">
        <v>52800</v>
      </c>
      <c r="M38" s="29">
        <v>0</v>
      </c>
      <c r="N38" s="33">
        <v>0</v>
      </c>
      <c r="O38" s="38">
        <v>1.32</v>
      </c>
      <c r="P38" s="38">
        <v>1.32</v>
      </c>
      <c r="Q38" s="14" t="e">
        <f t="shared" si="1"/>
        <v>#DIV/0!</v>
      </c>
      <c r="R38" s="14">
        <f t="shared" si="2"/>
        <v>91687.878787878784</v>
      </c>
      <c r="S38" s="43">
        <f t="shared" si="3"/>
        <v>2.1048640676739852</v>
      </c>
      <c r="T38" s="38">
        <v>0</v>
      </c>
      <c r="U38" s="5" t="s">
        <v>29</v>
      </c>
      <c r="V38" t="s">
        <v>119</v>
      </c>
      <c r="X38" t="s">
        <v>31</v>
      </c>
      <c r="Y38" s="6" t="s">
        <v>32</v>
      </c>
    </row>
    <row r="39" spans="1:25" x14ac:dyDescent="0.25">
      <c r="A39" t="s">
        <v>75</v>
      </c>
      <c r="B39" t="s">
        <v>76</v>
      </c>
      <c r="C39" s="24">
        <v>44288</v>
      </c>
      <c r="D39" s="14">
        <v>203000</v>
      </c>
      <c r="E39" t="s">
        <v>27</v>
      </c>
      <c r="F39" t="s">
        <v>42</v>
      </c>
      <c r="G39" s="14">
        <v>203000</v>
      </c>
      <c r="H39" s="14">
        <v>74900</v>
      </c>
      <c r="I39" s="19">
        <f t="shared" si="0"/>
        <v>36.896551724137936</v>
      </c>
      <c r="J39" s="14">
        <v>171704</v>
      </c>
      <c r="K39" s="14">
        <f>G39-83704</f>
        <v>119296</v>
      </c>
      <c r="L39" s="14">
        <v>66000</v>
      </c>
      <c r="M39" s="29">
        <v>0</v>
      </c>
      <c r="N39" s="33">
        <v>0</v>
      </c>
      <c r="O39" s="38">
        <v>2</v>
      </c>
      <c r="P39" s="38">
        <v>1</v>
      </c>
      <c r="Q39" s="14" t="e">
        <f t="shared" si="1"/>
        <v>#DIV/0!</v>
      </c>
      <c r="R39" s="14">
        <f t="shared" si="2"/>
        <v>59648</v>
      </c>
      <c r="S39" s="43">
        <f t="shared" si="3"/>
        <v>1.3693296602387512</v>
      </c>
      <c r="T39" s="38">
        <v>0</v>
      </c>
      <c r="U39" s="5" t="s">
        <v>29</v>
      </c>
      <c r="V39" t="s">
        <v>77</v>
      </c>
      <c r="W39" t="s">
        <v>78</v>
      </c>
      <c r="X39" t="s">
        <v>31</v>
      </c>
      <c r="Y39" s="6" t="s">
        <v>32</v>
      </c>
    </row>
    <row r="40" spans="1:25" x14ac:dyDescent="0.25">
      <c r="A40" t="s">
        <v>290</v>
      </c>
      <c r="B40" t="s">
        <v>291</v>
      </c>
      <c r="C40" s="24">
        <v>44564</v>
      </c>
      <c r="D40" s="14">
        <v>380000</v>
      </c>
      <c r="E40" t="s">
        <v>27</v>
      </c>
      <c r="F40" t="s">
        <v>28</v>
      </c>
      <c r="G40" s="14">
        <v>380000</v>
      </c>
      <c r="H40" s="14">
        <v>141000</v>
      </c>
      <c r="I40" s="19">
        <f t="shared" si="0"/>
        <v>37.105263157894733</v>
      </c>
      <c r="J40" s="14">
        <v>282077</v>
      </c>
      <c r="K40" s="14">
        <f>G40-183989</f>
        <v>196011</v>
      </c>
      <c r="L40" s="14">
        <v>98088</v>
      </c>
      <c r="M40" s="29">
        <v>0</v>
      </c>
      <c r="N40" s="33">
        <v>0</v>
      </c>
      <c r="O40" s="38">
        <v>10.02</v>
      </c>
      <c r="P40" s="38">
        <v>10.02</v>
      </c>
      <c r="Q40" s="14" t="e">
        <f t="shared" si="1"/>
        <v>#DIV/0!</v>
      </c>
      <c r="R40" s="14">
        <f t="shared" si="2"/>
        <v>19561.976047904191</v>
      </c>
      <c r="S40" s="43">
        <f t="shared" si="3"/>
        <v>0.44908117648999518</v>
      </c>
      <c r="T40" s="38">
        <v>0</v>
      </c>
      <c r="U40" s="5" t="s">
        <v>29</v>
      </c>
      <c r="V40" t="s">
        <v>292</v>
      </c>
      <c r="X40" t="s">
        <v>31</v>
      </c>
      <c r="Y40" s="6" t="s">
        <v>32</v>
      </c>
    </row>
    <row r="41" spans="1:25" x14ac:dyDescent="0.25">
      <c r="A41" t="s">
        <v>269</v>
      </c>
      <c r="B41" t="s">
        <v>270</v>
      </c>
      <c r="C41" s="24">
        <v>44750</v>
      </c>
      <c r="D41" s="14">
        <v>270000</v>
      </c>
      <c r="E41" t="s">
        <v>27</v>
      </c>
      <c r="F41" t="s">
        <v>28</v>
      </c>
      <c r="G41" s="14">
        <v>270000</v>
      </c>
      <c r="H41" s="14">
        <v>100300</v>
      </c>
      <c r="I41" s="19">
        <f t="shared" si="0"/>
        <v>37.148148148148145</v>
      </c>
      <c r="J41" s="14">
        <v>200653</v>
      </c>
      <c r="K41" s="14">
        <f>G41-156653</f>
        <v>113347</v>
      </c>
      <c r="L41" s="14">
        <v>44000</v>
      </c>
      <c r="M41" s="29">
        <v>0</v>
      </c>
      <c r="N41" s="33">
        <v>0</v>
      </c>
      <c r="O41" s="38">
        <v>1</v>
      </c>
      <c r="P41" s="38">
        <v>1</v>
      </c>
      <c r="Q41" s="14" t="e">
        <f t="shared" si="1"/>
        <v>#DIV/0!</v>
      </c>
      <c r="R41" s="14">
        <f t="shared" si="2"/>
        <v>113347</v>
      </c>
      <c r="S41" s="43">
        <f t="shared" si="3"/>
        <v>2.6020890725436181</v>
      </c>
      <c r="T41" s="38">
        <v>0</v>
      </c>
      <c r="U41" s="5" t="s">
        <v>29</v>
      </c>
      <c r="V41" t="s">
        <v>271</v>
      </c>
      <c r="X41" t="s">
        <v>31</v>
      </c>
      <c r="Y41" s="6" t="s">
        <v>32</v>
      </c>
    </row>
    <row r="42" spans="1:25" x14ac:dyDescent="0.25">
      <c r="A42" t="s">
        <v>308</v>
      </c>
      <c r="B42" t="s">
        <v>309</v>
      </c>
      <c r="C42" s="24">
        <v>45057</v>
      </c>
      <c r="D42" s="14">
        <v>565000</v>
      </c>
      <c r="E42" t="s">
        <v>27</v>
      </c>
      <c r="F42" t="s">
        <v>28</v>
      </c>
      <c r="G42" s="14">
        <v>565000</v>
      </c>
      <c r="H42" s="14">
        <v>213100</v>
      </c>
      <c r="I42" s="19">
        <f t="shared" si="0"/>
        <v>37.716814159292035</v>
      </c>
      <c r="J42" s="14">
        <v>426236</v>
      </c>
      <c r="K42" s="14">
        <f>G42-351236</f>
        <v>213764</v>
      </c>
      <c r="L42" s="14">
        <v>75000</v>
      </c>
      <c r="M42" s="29">
        <v>0</v>
      </c>
      <c r="N42" s="33">
        <v>0</v>
      </c>
      <c r="O42" s="38">
        <v>5</v>
      </c>
      <c r="P42" s="38">
        <v>5</v>
      </c>
      <c r="Q42" s="14" t="e">
        <f t="shared" si="1"/>
        <v>#DIV/0!</v>
      </c>
      <c r="R42" s="14">
        <f t="shared" si="2"/>
        <v>42752.800000000003</v>
      </c>
      <c r="S42" s="43">
        <f t="shared" si="3"/>
        <v>0.98146923783287421</v>
      </c>
      <c r="T42" s="38">
        <v>0</v>
      </c>
      <c r="U42" s="5" t="s">
        <v>29</v>
      </c>
      <c r="V42" t="s">
        <v>310</v>
      </c>
      <c r="X42" t="s">
        <v>31</v>
      </c>
      <c r="Y42" s="6" t="s">
        <v>32</v>
      </c>
    </row>
    <row r="43" spans="1:25" x14ac:dyDescent="0.25">
      <c r="A43" t="s">
        <v>201</v>
      </c>
      <c r="B43" t="s">
        <v>202</v>
      </c>
      <c r="C43" s="24">
        <v>45014</v>
      </c>
      <c r="D43" s="14">
        <v>215000</v>
      </c>
      <c r="E43" t="s">
        <v>27</v>
      </c>
      <c r="F43" t="s">
        <v>28</v>
      </c>
      <c r="G43" s="14">
        <v>215000</v>
      </c>
      <c r="H43" s="14">
        <v>81200</v>
      </c>
      <c r="I43" s="19">
        <f t="shared" si="0"/>
        <v>37.767441860465119</v>
      </c>
      <c r="J43" s="14">
        <v>162376</v>
      </c>
      <c r="K43" s="14">
        <f>G43-118376</f>
        <v>96624</v>
      </c>
      <c r="L43" s="14">
        <v>44000</v>
      </c>
      <c r="M43" s="29">
        <v>0</v>
      </c>
      <c r="N43" s="33">
        <v>0</v>
      </c>
      <c r="O43" s="38">
        <v>1</v>
      </c>
      <c r="P43" s="38">
        <v>1</v>
      </c>
      <c r="Q43" s="14" t="e">
        <f t="shared" si="1"/>
        <v>#DIV/0!</v>
      </c>
      <c r="R43" s="14">
        <f t="shared" si="2"/>
        <v>96624</v>
      </c>
      <c r="S43" s="43">
        <f t="shared" si="3"/>
        <v>2.2181818181818183</v>
      </c>
      <c r="T43" s="38">
        <v>0</v>
      </c>
      <c r="U43" s="5" t="s">
        <v>29</v>
      </c>
      <c r="V43" t="s">
        <v>203</v>
      </c>
      <c r="X43" t="s">
        <v>31</v>
      </c>
      <c r="Y43" s="6" t="s">
        <v>32</v>
      </c>
    </row>
    <row r="44" spans="1:25" x14ac:dyDescent="0.25">
      <c r="A44" t="s">
        <v>183</v>
      </c>
      <c r="B44" t="s">
        <v>184</v>
      </c>
      <c r="C44" s="24">
        <v>44533</v>
      </c>
      <c r="D44" s="14">
        <v>142500</v>
      </c>
      <c r="E44" t="s">
        <v>27</v>
      </c>
      <c r="F44" t="s">
        <v>28</v>
      </c>
      <c r="G44" s="14">
        <v>142500</v>
      </c>
      <c r="H44" s="14">
        <v>54400</v>
      </c>
      <c r="I44" s="19">
        <f t="shared" si="0"/>
        <v>38.175438596491226</v>
      </c>
      <c r="J44" s="14">
        <v>108897</v>
      </c>
      <c r="K44" s="14">
        <f>G44-86897</f>
        <v>55603</v>
      </c>
      <c r="L44" s="14">
        <v>22000</v>
      </c>
      <c r="M44" s="29">
        <v>0</v>
      </c>
      <c r="N44" s="33">
        <v>0</v>
      </c>
      <c r="O44" s="38">
        <v>0.5</v>
      </c>
      <c r="P44" s="38">
        <v>0.5</v>
      </c>
      <c r="Q44" s="14" t="e">
        <f t="shared" si="1"/>
        <v>#DIV/0!</v>
      </c>
      <c r="R44" s="14">
        <f t="shared" si="2"/>
        <v>111206</v>
      </c>
      <c r="S44" s="43">
        <f t="shared" si="3"/>
        <v>2.5529384756657483</v>
      </c>
      <c r="T44" s="38">
        <v>0</v>
      </c>
      <c r="U44" s="5" t="s">
        <v>29</v>
      </c>
      <c r="V44" t="s">
        <v>185</v>
      </c>
      <c r="X44" t="s">
        <v>31</v>
      </c>
      <c r="Y44" s="6" t="s">
        <v>32</v>
      </c>
    </row>
    <row r="45" spans="1:25" x14ac:dyDescent="0.25">
      <c r="A45" t="s">
        <v>120</v>
      </c>
      <c r="B45" t="s">
        <v>121</v>
      </c>
      <c r="C45" s="24">
        <v>44371</v>
      </c>
      <c r="D45" s="14">
        <v>220000</v>
      </c>
      <c r="E45" t="s">
        <v>27</v>
      </c>
      <c r="F45" t="s">
        <v>28</v>
      </c>
      <c r="G45" s="14">
        <v>220000</v>
      </c>
      <c r="H45" s="14">
        <v>84000</v>
      </c>
      <c r="I45" s="19">
        <f t="shared" si="0"/>
        <v>38.181818181818187</v>
      </c>
      <c r="J45" s="14">
        <v>167985</v>
      </c>
      <c r="K45" s="14">
        <f>G45-110235</f>
        <v>109765</v>
      </c>
      <c r="L45" s="14">
        <v>57750</v>
      </c>
      <c r="M45" s="29">
        <v>0</v>
      </c>
      <c r="N45" s="33">
        <v>0</v>
      </c>
      <c r="O45" s="38">
        <v>1.5</v>
      </c>
      <c r="P45" s="38">
        <v>1.5</v>
      </c>
      <c r="Q45" s="14" t="e">
        <f t="shared" si="1"/>
        <v>#DIV/0!</v>
      </c>
      <c r="R45" s="14">
        <f t="shared" si="2"/>
        <v>73176.666666666672</v>
      </c>
      <c r="S45" s="43">
        <f t="shared" si="3"/>
        <v>1.6799051117232937</v>
      </c>
      <c r="T45" s="38">
        <v>0</v>
      </c>
      <c r="U45" s="5" t="s">
        <v>29</v>
      </c>
      <c r="V45" t="s">
        <v>122</v>
      </c>
      <c r="X45" t="s">
        <v>31</v>
      </c>
      <c r="Y45" s="6" t="s">
        <v>32</v>
      </c>
    </row>
    <row r="46" spans="1:25" x14ac:dyDescent="0.25">
      <c r="A46" t="s">
        <v>338</v>
      </c>
      <c r="B46" t="s">
        <v>339</v>
      </c>
      <c r="C46" s="24">
        <v>44712</v>
      </c>
      <c r="D46" s="14">
        <v>145000</v>
      </c>
      <c r="E46" t="s">
        <v>340</v>
      </c>
      <c r="F46" t="s">
        <v>28</v>
      </c>
      <c r="G46" s="14">
        <v>145000</v>
      </c>
      <c r="H46" s="14">
        <v>55500</v>
      </c>
      <c r="I46" s="19">
        <f t="shared" si="0"/>
        <v>38.275862068965516</v>
      </c>
      <c r="J46" s="14">
        <v>110933</v>
      </c>
      <c r="K46" s="14">
        <f>G46-15420</f>
        <v>129580</v>
      </c>
      <c r="L46" s="14">
        <v>95513</v>
      </c>
      <c r="M46" s="29">
        <v>0</v>
      </c>
      <c r="N46" s="33">
        <v>0</v>
      </c>
      <c r="O46" s="38">
        <v>24.5</v>
      </c>
      <c r="P46" s="38">
        <v>24.5</v>
      </c>
      <c r="Q46" s="14" t="e">
        <f t="shared" si="1"/>
        <v>#DIV/0!</v>
      </c>
      <c r="R46" s="14">
        <f t="shared" si="2"/>
        <v>5288.9795918367345</v>
      </c>
      <c r="S46" s="43">
        <f t="shared" si="3"/>
        <v>0.12141826427540713</v>
      </c>
      <c r="T46" s="38">
        <v>0</v>
      </c>
      <c r="U46" s="5" t="s">
        <v>29</v>
      </c>
      <c r="V46" t="s">
        <v>341</v>
      </c>
      <c r="X46" t="s">
        <v>31</v>
      </c>
      <c r="Y46" s="6" t="s">
        <v>32</v>
      </c>
    </row>
    <row r="47" spans="1:25" x14ac:dyDescent="0.25">
      <c r="A47" t="s">
        <v>135</v>
      </c>
      <c r="B47" t="s">
        <v>136</v>
      </c>
      <c r="C47" s="24">
        <v>44690</v>
      </c>
      <c r="D47" s="14">
        <v>300000</v>
      </c>
      <c r="E47" t="s">
        <v>27</v>
      </c>
      <c r="F47" t="s">
        <v>28</v>
      </c>
      <c r="G47" s="14">
        <v>300000</v>
      </c>
      <c r="H47" s="14">
        <v>116300</v>
      </c>
      <c r="I47" s="19">
        <f t="shared" si="0"/>
        <v>38.766666666666666</v>
      </c>
      <c r="J47" s="14">
        <v>232684</v>
      </c>
      <c r="K47" s="14">
        <f>G47-166684</f>
        <v>133316</v>
      </c>
      <c r="L47" s="14">
        <v>66000</v>
      </c>
      <c r="M47" s="29">
        <v>0</v>
      </c>
      <c r="N47" s="33">
        <v>0</v>
      </c>
      <c r="O47" s="38">
        <v>2</v>
      </c>
      <c r="P47" s="38">
        <v>2</v>
      </c>
      <c r="Q47" s="14" t="e">
        <f t="shared" si="1"/>
        <v>#DIV/0!</v>
      </c>
      <c r="R47" s="14">
        <f t="shared" si="2"/>
        <v>66658</v>
      </c>
      <c r="S47" s="43">
        <f t="shared" si="3"/>
        <v>1.530257116620753</v>
      </c>
      <c r="T47" s="38">
        <v>0</v>
      </c>
      <c r="U47" s="5" t="s">
        <v>29</v>
      </c>
      <c r="V47" t="s">
        <v>137</v>
      </c>
      <c r="X47" t="s">
        <v>31</v>
      </c>
      <c r="Y47" s="6" t="s">
        <v>32</v>
      </c>
    </row>
    <row r="48" spans="1:25" x14ac:dyDescent="0.25">
      <c r="A48" t="s">
        <v>204</v>
      </c>
      <c r="B48" t="s">
        <v>205</v>
      </c>
      <c r="C48" s="24">
        <v>45198</v>
      </c>
      <c r="D48" s="14">
        <v>270000</v>
      </c>
      <c r="E48" t="s">
        <v>27</v>
      </c>
      <c r="F48" t="s">
        <v>28</v>
      </c>
      <c r="G48" s="14">
        <v>270000</v>
      </c>
      <c r="H48" s="14">
        <v>104700</v>
      </c>
      <c r="I48" s="19">
        <f t="shared" si="0"/>
        <v>38.777777777777779</v>
      </c>
      <c r="J48" s="14">
        <v>209446</v>
      </c>
      <c r="K48" s="14">
        <f>G48-88270</f>
        <v>181730</v>
      </c>
      <c r="L48" s="14">
        <v>121176</v>
      </c>
      <c r="M48" s="29">
        <v>0</v>
      </c>
      <c r="N48" s="33">
        <v>0</v>
      </c>
      <c r="O48" s="38">
        <v>15.98</v>
      </c>
      <c r="P48" s="38">
        <v>15.98</v>
      </c>
      <c r="Q48" s="14" t="e">
        <f t="shared" si="1"/>
        <v>#DIV/0!</v>
      </c>
      <c r="R48" s="14">
        <f t="shared" si="2"/>
        <v>11372.340425531915</v>
      </c>
      <c r="S48" s="43">
        <f t="shared" si="3"/>
        <v>0.26107301252368947</v>
      </c>
      <c r="T48" s="38">
        <v>0</v>
      </c>
      <c r="U48" s="5" t="s">
        <v>29</v>
      </c>
      <c r="V48" t="s">
        <v>206</v>
      </c>
      <c r="X48" t="s">
        <v>31</v>
      </c>
      <c r="Y48" s="6" t="s">
        <v>32</v>
      </c>
    </row>
    <row r="49" spans="1:25" x14ac:dyDescent="0.25">
      <c r="A49" t="s">
        <v>180</v>
      </c>
      <c r="B49" t="s">
        <v>181</v>
      </c>
      <c r="C49" s="24">
        <v>45077</v>
      </c>
      <c r="D49" s="14">
        <v>227000</v>
      </c>
      <c r="E49" t="s">
        <v>27</v>
      </c>
      <c r="F49" t="s">
        <v>28</v>
      </c>
      <c r="G49" s="14">
        <v>227000</v>
      </c>
      <c r="H49" s="14">
        <v>88600</v>
      </c>
      <c r="I49" s="19">
        <f t="shared" si="0"/>
        <v>39.030837004405292</v>
      </c>
      <c r="J49" s="14">
        <v>177204</v>
      </c>
      <c r="K49" s="14">
        <f>G49-97704</f>
        <v>129296</v>
      </c>
      <c r="L49" s="14">
        <v>79500</v>
      </c>
      <c r="M49" s="29">
        <v>0</v>
      </c>
      <c r="N49" s="33">
        <v>0</v>
      </c>
      <c r="O49" s="38">
        <v>6</v>
      </c>
      <c r="P49" s="38">
        <v>6</v>
      </c>
      <c r="Q49" s="14" t="e">
        <f t="shared" si="1"/>
        <v>#DIV/0!</v>
      </c>
      <c r="R49" s="14">
        <f t="shared" si="2"/>
        <v>21549.333333333332</v>
      </c>
      <c r="S49" s="43">
        <f t="shared" si="3"/>
        <v>0.49470462197734921</v>
      </c>
      <c r="T49" s="38">
        <v>0</v>
      </c>
      <c r="U49" s="5" t="s">
        <v>29</v>
      </c>
      <c r="V49" t="s">
        <v>182</v>
      </c>
      <c r="X49" t="s">
        <v>31</v>
      </c>
      <c r="Y49" s="6" t="s">
        <v>32</v>
      </c>
    </row>
    <row r="50" spans="1:25" x14ac:dyDescent="0.25">
      <c r="A50" t="s">
        <v>272</v>
      </c>
      <c r="B50" t="s">
        <v>273</v>
      </c>
      <c r="C50" s="24">
        <v>44439</v>
      </c>
      <c r="D50" s="14">
        <v>290000</v>
      </c>
      <c r="E50" t="s">
        <v>27</v>
      </c>
      <c r="F50" t="s">
        <v>28</v>
      </c>
      <c r="G50" s="14">
        <v>290000</v>
      </c>
      <c r="H50" s="14">
        <v>113500</v>
      </c>
      <c r="I50" s="19">
        <f t="shared" si="0"/>
        <v>39.137931034482762</v>
      </c>
      <c r="J50" s="14">
        <v>227021</v>
      </c>
      <c r="K50" s="14">
        <f>G50-142337</f>
        <v>147663</v>
      </c>
      <c r="L50" s="14">
        <v>84684</v>
      </c>
      <c r="M50" s="29">
        <v>0</v>
      </c>
      <c r="N50" s="33">
        <v>0</v>
      </c>
      <c r="O50" s="38">
        <v>10.37</v>
      </c>
      <c r="P50" s="38">
        <v>10.37</v>
      </c>
      <c r="Q50" s="14" t="e">
        <f t="shared" si="1"/>
        <v>#DIV/0!</v>
      </c>
      <c r="R50" s="14">
        <f t="shared" si="2"/>
        <v>14239.440694310511</v>
      </c>
      <c r="S50" s="43">
        <f t="shared" si="3"/>
        <v>0.3268925779226472</v>
      </c>
      <c r="T50" s="38">
        <v>0</v>
      </c>
      <c r="U50" s="5" t="s">
        <v>29</v>
      </c>
      <c r="V50" t="s">
        <v>274</v>
      </c>
      <c r="X50" t="s">
        <v>31</v>
      </c>
      <c r="Y50" s="6" t="s">
        <v>32</v>
      </c>
    </row>
    <row r="51" spans="1:25" x14ac:dyDescent="0.25">
      <c r="A51" t="s">
        <v>242</v>
      </c>
      <c r="B51" t="s">
        <v>243</v>
      </c>
      <c r="C51" s="24">
        <v>44833</v>
      </c>
      <c r="D51" s="14">
        <v>455000</v>
      </c>
      <c r="E51" t="s">
        <v>27</v>
      </c>
      <c r="F51" t="s">
        <v>28</v>
      </c>
      <c r="G51" s="14">
        <v>455000</v>
      </c>
      <c r="H51" s="14">
        <v>178700</v>
      </c>
      <c r="I51" s="19">
        <f t="shared" si="0"/>
        <v>39.274725274725277</v>
      </c>
      <c r="J51" s="14">
        <v>357394</v>
      </c>
      <c r="K51" s="14">
        <f>G51-228910</f>
        <v>226090</v>
      </c>
      <c r="L51" s="14">
        <v>128484</v>
      </c>
      <c r="M51" s="29">
        <v>0</v>
      </c>
      <c r="N51" s="33">
        <v>0</v>
      </c>
      <c r="O51" s="38">
        <v>28.28</v>
      </c>
      <c r="P51" s="38">
        <v>28.28</v>
      </c>
      <c r="Q51" s="14" t="e">
        <f t="shared" si="1"/>
        <v>#DIV/0!</v>
      </c>
      <c r="R51" s="14">
        <f t="shared" si="2"/>
        <v>7994.6958981612443</v>
      </c>
      <c r="S51" s="43">
        <f t="shared" si="3"/>
        <v>0.18353296368597899</v>
      </c>
      <c r="T51" s="38">
        <v>0</v>
      </c>
      <c r="U51" s="5" t="s">
        <v>29</v>
      </c>
      <c r="V51" t="s">
        <v>244</v>
      </c>
      <c r="X51" t="s">
        <v>31</v>
      </c>
      <c r="Y51" s="6" t="s">
        <v>32</v>
      </c>
    </row>
    <row r="52" spans="1:25" x14ac:dyDescent="0.25">
      <c r="A52" t="s">
        <v>302</v>
      </c>
      <c r="B52" t="s">
        <v>303</v>
      </c>
      <c r="C52" s="24">
        <v>44875</v>
      </c>
      <c r="D52" s="14">
        <v>172200</v>
      </c>
      <c r="E52" t="s">
        <v>27</v>
      </c>
      <c r="F52" t="s">
        <v>28</v>
      </c>
      <c r="G52" s="14">
        <v>172200</v>
      </c>
      <c r="H52" s="14">
        <v>67700</v>
      </c>
      <c r="I52" s="19">
        <f t="shared" si="0"/>
        <v>39.314750290360045</v>
      </c>
      <c r="J52" s="14">
        <v>135480</v>
      </c>
      <c r="K52" s="14">
        <f>G52-82792</f>
        <v>89408</v>
      </c>
      <c r="L52" s="14">
        <v>52688</v>
      </c>
      <c r="M52" s="29">
        <v>0</v>
      </c>
      <c r="N52" s="33">
        <v>0</v>
      </c>
      <c r="O52" s="38">
        <v>2.75</v>
      </c>
      <c r="P52" s="38">
        <v>2.75</v>
      </c>
      <c r="Q52" s="14" t="e">
        <f t="shared" si="1"/>
        <v>#DIV/0!</v>
      </c>
      <c r="R52" s="14">
        <f t="shared" si="2"/>
        <v>32512</v>
      </c>
      <c r="S52" s="43">
        <f t="shared" si="3"/>
        <v>0.74637281910009179</v>
      </c>
      <c r="T52" s="38">
        <v>0</v>
      </c>
      <c r="U52" s="5" t="s">
        <v>29</v>
      </c>
      <c r="V52" t="s">
        <v>304</v>
      </c>
      <c r="X52" t="s">
        <v>31</v>
      </c>
      <c r="Y52" s="6" t="s">
        <v>32</v>
      </c>
    </row>
    <row r="53" spans="1:25" x14ac:dyDescent="0.25">
      <c r="A53" t="s">
        <v>39</v>
      </c>
      <c r="B53" t="s">
        <v>40</v>
      </c>
      <c r="C53" s="24">
        <v>44482</v>
      </c>
      <c r="D53" s="14">
        <v>205000</v>
      </c>
      <c r="E53" t="s">
        <v>27</v>
      </c>
      <c r="F53" t="s">
        <v>42</v>
      </c>
      <c r="G53" s="14">
        <v>205000</v>
      </c>
      <c r="H53" s="14">
        <v>80800</v>
      </c>
      <c r="I53" s="19">
        <f t="shared" si="0"/>
        <v>39.414634146341463</v>
      </c>
      <c r="J53" s="14">
        <v>191501</v>
      </c>
      <c r="K53" s="14">
        <f>G53-98501</f>
        <v>106499</v>
      </c>
      <c r="L53" s="14">
        <v>63000</v>
      </c>
      <c r="M53" s="29">
        <v>0</v>
      </c>
      <c r="N53" s="33">
        <v>0</v>
      </c>
      <c r="O53" s="38">
        <v>1.26</v>
      </c>
      <c r="P53" s="38">
        <v>0.75</v>
      </c>
      <c r="Q53" s="14" t="e">
        <f t="shared" si="1"/>
        <v>#DIV/0!</v>
      </c>
      <c r="R53" s="14">
        <f t="shared" si="2"/>
        <v>84523.015873015873</v>
      </c>
      <c r="S53" s="43">
        <f t="shared" si="3"/>
        <v>1.9403814479572055</v>
      </c>
      <c r="T53" s="38">
        <v>0</v>
      </c>
      <c r="U53" s="5" t="s">
        <v>29</v>
      </c>
      <c r="V53" t="s">
        <v>41</v>
      </c>
      <c r="W53" t="s">
        <v>43</v>
      </c>
      <c r="X53" t="s">
        <v>31</v>
      </c>
      <c r="Y53" s="6" t="s">
        <v>32</v>
      </c>
    </row>
    <row r="54" spans="1:25" x14ac:dyDescent="0.25">
      <c r="A54" t="s">
        <v>323</v>
      </c>
      <c r="B54" t="s">
        <v>324</v>
      </c>
      <c r="C54" s="24">
        <v>44739</v>
      </c>
      <c r="D54" s="14">
        <v>319000</v>
      </c>
      <c r="E54" t="s">
        <v>27</v>
      </c>
      <c r="F54" t="s">
        <v>28</v>
      </c>
      <c r="G54" s="14">
        <v>319000</v>
      </c>
      <c r="H54" s="14">
        <v>126000</v>
      </c>
      <c r="I54" s="19">
        <f t="shared" si="0"/>
        <v>39.498432601880879</v>
      </c>
      <c r="J54" s="14">
        <v>251993</v>
      </c>
      <c r="K54" s="14">
        <f>G54-176993</f>
        <v>142007</v>
      </c>
      <c r="L54" s="14">
        <v>75000</v>
      </c>
      <c r="M54" s="29">
        <v>0</v>
      </c>
      <c r="N54" s="33">
        <v>0</v>
      </c>
      <c r="O54" s="38">
        <v>5</v>
      </c>
      <c r="P54" s="38">
        <v>5</v>
      </c>
      <c r="Q54" s="14" t="e">
        <f t="shared" si="1"/>
        <v>#DIV/0!</v>
      </c>
      <c r="R54" s="14">
        <f t="shared" si="2"/>
        <v>28401.4</v>
      </c>
      <c r="S54" s="43">
        <f t="shared" si="3"/>
        <v>0.65200642791551888</v>
      </c>
      <c r="T54" s="38">
        <v>0</v>
      </c>
      <c r="U54" s="5" t="s">
        <v>29</v>
      </c>
      <c r="V54" t="s">
        <v>325</v>
      </c>
      <c r="X54" t="s">
        <v>31</v>
      </c>
      <c r="Y54" s="6" t="s">
        <v>32</v>
      </c>
    </row>
    <row r="55" spans="1:25" x14ac:dyDescent="0.25">
      <c r="A55" t="s">
        <v>144</v>
      </c>
      <c r="B55" t="s">
        <v>145</v>
      </c>
      <c r="C55" s="24">
        <v>44944</v>
      </c>
      <c r="D55" s="14">
        <v>119900</v>
      </c>
      <c r="E55" t="s">
        <v>27</v>
      </c>
      <c r="F55" t="s">
        <v>28</v>
      </c>
      <c r="G55" s="14">
        <v>119900</v>
      </c>
      <c r="H55" s="14">
        <v>47400</v>
      </c>
      <c r="I55" s="19">
        <f t="shared" si="0"/>
        <v>39.532944120100083</v>
      </c>
      <c r="J55" s="14">
        <v>94875</v>
      </c>
      <c r="K55" s="14">
        <f>G55-52195</f>
        <v>67705</v>
      </c>
      <c r="L55" s="14">
        <v>42680</v>
      </c>
      <c r="M55" s="29">
        <v>0</v>
      </c>
      <c r="N55" s="33">
        <v>0</v>
      </c>
      <c r="O55" s="38">
        <v>0.97</v>
      </c>
      <c r="P55" s="38">
        <v>0.97</v>
      </c>
      <c r="Q55" s="14" t="e">
        <f t="shared" si="1"/>
        <v>#DIV/0!</v>
      </c>
      <c r="R55" s="14">
        <f t="shared" si="2"/>
        <v>69798.969072164953</v>
      </c>
      <c r="S55" s="43">
        <f t="shared" si="3"/>
        <v>1.602363844631886</v>
      </c>
      <c r="T55" s="38">
        <v>0</v>
      </c>
      <c r="U55" s="5" t="s">
        <v>29</v>
      </c>
      <c r="V55" t="s">
        <v>146</v>
      </c>
      <c r="X55" t="s">
        <v>31</v>
      </c>
      <c r="Y55" s="6" t="s">
        <v>32</v>
      </c>
    </row>
    <row r="56" spans="1:25" x14ac:dyDescent="0.25">
      <c r="A56" t="s">
        <v>82</v>
      </c>
      <c r="B56" t="s">
        <v>83</v>
      </c>
      <c r="C56" s="24">
        <v>44662</v>
      </c>
      <c r="D56" s="14">
        <v>145000</v>
      </c>
      <c r="E56" t="s">
        <v>84</v>
      </c>
      <c r="F56" t="s">
        <v>28</v>
      </c>
      <c r="G56" s="14">
        <v>145000</v>
      </c>
      <c r="H56" s="14">
        <v>57500</v>
      </c>
      <c r="I56" s="19">
        <f t="shared" si="0"/>
        <v>39.655172413793103</v>
      </c>
      <c r="J56" s="14">
        <v>114963</v>
      </c>
      <c r="K56" s="14">
        <f>G56-88123</f>
        <v>56877</v>
      </c>
      <c r="L56" s="14">
        <v>26840</v>
      </c>
      <c r="M56" s="29">
        <v>0</v>
      </c>
      <c r="N56" s="33">
        <v>0</v>
      </c>
      <c r="O56" s="38">
        <v>0.61</v>
      </c>
      <c r="P56" s="38">
        <v>0.61</v>
      </c>
      <c r="Q56" s="14" t="e">
        <f t="shared" si="1"/>
        <v>#DIV/0!</v>
      </c>
      <c r="R56" s="14">
        <f t="shared" si="2"/>
        <v>93240.983606557376</v>
      </c>
      <c r="S56" s="43">
        <f t="shared" si="3"/>
        <v>2.1405184482680757</v>
      </c>
      <c r="T56" s="38">
        <v>0</v>
      </c>
      <c r="U56" s="5" t="s">
        <v>29</v>
      </c>
      <c r="V56" t="s">
        <v>85</v>
      </c>
      <c r="X56" t="s">
        <v>31</v>
      </c>
      <c r="Y56" s="6" t="s">
        <v>32</v>
      </c>
    </row>
    <row r="57" spans="1:25" x14ac:dyDescent="0.25">
      <c r="A57" t="s">
        <v>260</v>
      </c>
      <c r="B57" t="s">
        <v>261</v>
      </c>
      <c r="C57" s="24">
        <v>44728</v>
      </c>
      <c r="D57" s="14">
        <v>516000</v>
      </c>
      <c r="E57" t="s">
        <v>27</v>
      </c>
      <c r="F57" t="s">
        <v>28</v>
      </c>
      <c r="G57" s="14">
        <v>516000</v>
      </c>
      <c r="H57" s="14">
        <v>205100</v>
      </c>
      <c r="I57" s="19">
        <f t="shared" si="0"/>
        <v>39.748062015503876</v>
      </c>
      <c r="J57" s="14">
        <v>410230</v>
      </c>
      <c r="K57" s="14">
        <f>G57-312054</f>
        <v>203946</v>
      </c>
      <c r="L57" s="14">
        <v>98176</v>
      </c>
      <c r="M57" s="29">
        <v>0</v>
      </c>
      <c r="N57" s="33">
        <v>0</v>
      </c>
      <c r="O57" s="38">
        <v>10.039999999999999</v>
      </c>
      <c r="P57" s="38">
        <v>10.039999999999999</v>
      </c>
      <c r="Q57" s="14" t="e">
        <f t="shared" si="1"/>
        <v>#DIV/0!</v>
      </c>
      <c r="R57" s="14">
        <f t="shared" si="2"/>
        <v>20313.346613545818</v>
      </c>
      <c r="S57" s="43">
        <f t="shared" si="3"/>
        <v>0.46633027120169462</v>
      </c>
      <c r="T57" s="38">
        <v>0</v>
      </c>
      <c r="U57" s="5" t="s">
        <v>29</v>
      </c>
      <c r="V57" t="s">
        <v>262</v>
      </c>
      <c r="X57" t="s">
        <v>31</v>
      </c>
      <c r="Y57" s="6" t="s">
        <v>32</v>
      </c>
    </row>
    <row r="58" spans="1:25" x14ac:dyDescent="0.25">
      <c r="A58" t="s">
        <v>532</v>
      </c>
      <c r="B58" t="s">
        <v>533</v>
      </c>
      <c r="C58" s="24">
        <v>44687</v>
      </c>
      <c r="D58" s="14">
        <v>220000</v>
      </c>
      <c r="E58" t="s">
        <v>27</v>
      </c>
      <c r="F58" t="s">
        <v>28</v>
      </c>
      <c r="G58" s="14">
        <v>220000</v>
      </c>
      <c r="H58" s="14">
        <v>88100</v>
      </c>
      <c r="I58" s="19">
        <f t="shared" si="0"/>
        <v>40.045454545454547</v>
      </c>
      <c r="J58" s="14">
        <v>176163</v>
      </c>
      <c r="K58" s="14">
        <f>G58-131613</f>
        <v>88387</v>
      </c>
      <c r="L58" s="14">
        <v>44550</v>
      </c>
      <c r="M58" s="29">
        <v>0</v>
      </c>
      <c r="N58" s="33">
        <v>0</v>
      </c>
      <c r="O58" s="38">
        <v>1.02</v>
      </c>
      <c r="P58" s="38">
        <v>1.02</v>
      </c>
      <c r="Q58" s="14" t="e">
        <f t="shared" si="1"/>
        <v>#DIV/0!</v>
      </c>
      <c r="R58" s="14">
        <f t="shared" si="2"/>
        <v>86653.921568627455</v>
      </c>
      <c r="S58" s="43">
        <f t="shared" si="3"/>
        <v>1.9893003114928249</v>
      </c>
      <c r="T58" s="38">
        <v>0</v>
      </c>
      <c r="U58" s="5" t="s">
        <v>29</v>
      </c>
      <c r="V58" t="s">
        <v>534</v>
      </c>
      <c r="X58" t="s">
        <v>31</v>
      </c>
      <c r="Y58" s="6" t="s">
        <v>32</v>
      </c>
    </row>
    <row r="59" spans="1:25" x14ac:dyDescent="0.25">
      <c r="A59" t="s">
        <v>342</v>
      </c>
      <c r="B59" t="s">
        <v>343</v>
      </c>
      <c r="C59" s="24">
        <v>44358</v>
      </c>
      <c r="D59" s="14">
        <v>260000</v>
      </c>
      <c r="E59" t="s">
        <v>27</v>
      </c>
      <c r="F59" t="s">
        <v>28</v>
      </c>
      <c r="G59" s="14">
        <v>260000</v>
      </c>
      <c r="H59" s="14">
        <v>106200</v>
      </c>
      <c r="I59" s="19">
        <f t="shared" si="0"/>
        <v>40.846153846153847</v>
      </c>
      <c r="J59" s="14">
        <v>212321</v>
      </c>
      <c r="K59" s="14">
        <f>G59-158146</f>
        <v>101854</v>
      </c>
      <c r="L59" s="14">
        <v>54175</v>
      </c>
      <c r="M59" s="29">
        <v>0</v>
      </c>
      <c r="N59" s="33">
        <v>0</v>
      </c>
      <c r="O59" s="38">
        <v>1.37</v>
      </c>
      <c r="P59" s="38">
        <v>1.37</v>
      </c>
      <c r="Q59" s="14" t="e">
        <f t="shared" si="1"/>
        <v>#DIV/0!</v>
      </c>
      <c r="R59" s="14">
        <f t="shared" si="2"/>
        <v>74345.985401459853</v>
      </c>
      <c r="S59" s="43">
        <f t="shared" si="3"/>
        <v>1.7067489761583989</v>
      </c>
      <c r="T59" s="38">
        <v>0</v>
      </c>
      <c r="U59" s="5" t="s">
        <v>29</v>
      </c>
      <c r="V59" t="s">
        <v>344</v>
      </c>
      <c r="X59" t="s">
        <v>31</v>
      </c>
      <c r="Y59" s="6" t="s">
        <v>32</v>
      </c>
    </row>
    <row r="60" spans="1:25" x14ac:dyDescent="0.25">
      <c r="A60" t="s">
        <v>86</v>
      </c>
      <c r="B60" t="s">
        <v>87</v>
      </c>
      <c r="C60" s="24">
        <v>44466</v>
      </c>
      <c r="D60" s="14">
        <v>202000</v>
      </c>
      <c r="E60" t="s">
        <v>27</v>
      </c>
      <c r="F60" t="s">
        <v>28</v>
      </c>
      <c r="G60" s="14">
        <v>202000</v>
      </c>
      <c r="H60" s="14">
        <v>83500</v>
      </c>
      <c r="I60" s="19">
        <f t="shared" si="0"/>
        <v>41.336633663366335</v>
      </c>
      <c r="J60" s="14">
        <v>166983</v>
      </c>
      <c r="K60" s="14">
        <f>G60-123863</f>
        <v>78137</v>
      </c>
      <c r="L60" s="14">
        <v>43120</v>
      </c>
      <c r="M60" s="29">
        <v>0</v>
      </c>
      <c r="N60" s="33">
        <v>0</v>
      </c>
      <c r="O60" s="38">
        <v>0.98</v>
      </c>
      <c r="P60" s="38">
        <v>0.98</v>
      </c>
      <c r="Q60" s="14" t="e">
        <f t="shared" si="1"/>
        <v>#DIV/0!</v>
      </c>
      <c r="R60" s="14">
        <f t="shared" si="2"/>
        <v>79731.632653061228</v>
      </c>
      <c r="S60" s="43">
        <f t="shared" si="3"/>
        <v>1.8303864245422687</v>
      </c>
      <c r="T60" s="38">
        <v>0</v>
      </c>
      <c r="U60" s="5" t="s">
        <v>29</v>
      </c>
      <c r="V60" t="s">
        <v>88</v>
      </c>
      <c r="X60" t="s">
        <v>31</v>
      </c>
      <c r="Y60" s="6" t="s">
        <v>32</v>
      </c>
    </row>
    <row r="61" spans="1:25" x14ac:dyDescent="0.25">
      <c r="A61" t="s">
        <v>529</v>
      </c>
      <c r="B61" t="s">
        <v>530</v>
      </c>
      <c r="C61" s="24">
        <v>44439</v>
      </c>
      <c r="D61" s="14">
        <v>200000</v>
      </c>
      <c r="E61" t="s">
        <v>27</v>
      </c>
      <c r="F61" t="s">
        <v>28</v>
      </c>
      <c r="G61" s="14">
        <v>200000</v>
      </c>
      <c r="H61" s="14">
        <v>82900</v>
      </c>
      <c r="I61" s="19">
        <f t="shared" si="0"/>
        <v>41.449999999999996</v>
      </c>
      <c r="J61" s="14">
        <v>165770</v>
      </c>
      <c r="K61" s="14">
        <f>G61-95095</f>
        <v>104905</v>
      </c>
      <c r="L61" s="14">
        <v>70675</v>
      </c>
      <c r="M61" s="29">
        <v>0</v>
      </c>
      <c r="N61" s="33">
        <v>0</v>
      </c>
      <c r="O61" s="38">
        <v>3.05</v>
      </c>
      <c r="P61" s="38">
        <v>3.05</v>
      </c>
      <c r="Q61" s="14" t="e">
        <f t="shared" si="1"/>
        <v>#DIV/0!</v>
      </c>
      <c r="R61" s="14">
        <f t="shared" si="2"/>
        <v>34395.081967213118</v>
      </c>
      <c r="S61" s="43">
        <f t="shared" si="3"/>
        <v>0.78960243267247743</v>
      </c>
      <c r="T61" s="38">
        <v>0</v>
      </c>
      <c r="U61" s="5" t="s">
        <v>29</v>
      </c>
      <c r="V61" t="s">
        <v>531</v>
      </c>
      <c r="X61" t="s">
        <v>31</v>
      </c>
      <c r="Y61" s="6" t="s">
        <v>32</v>
      </c>
    </row>
    <row r="62" spans="1:25" x14ac:dyDescent="0.25">
      <c r="A62" t="s">
        <v>556</v>
      </c>
      <c r="B62" t="s">
        <v>557</v>
      </c>
      <c r="C62" s="24">
        <v>44488</v>
      </c>
      <c r="D62" s="14">
        <v>225000</v>
      </c>
      <c r="E62" t="s">
        <v>27</v>
      </c>
      <c r="F62" t="s">
        <v>28</v>
      </c>
      <c r="G62" s="14">
        <v>225000</v>
      </c>
      <c r="H62" s="14">
        <v>93500</v>
      </c>
      <c r="I62" s="19">
        <f t="shared" si="0"/>
        <v>41.555555555555557</v>
      </c>
      <c r="J62" s="14">
        <v>186940</v>
      </c>
      <c r="K62" s="14">
        <f>G62-155260</f>
        <v>69740</v>
      </c>
      <c r="L62" s="14">
        <v>31680</v>
      </c>
      <c r="M62" s="29">
        <v>0</v>
      </c>
      <c r="N62" s="33">
        <v>0</v>
      </c>
      <c r="O62" s="38">
        <v>0.72</v>
      </c>
      <c r="P62" s="38">
        <v>0.72</v>
      </c>
      <c r="Q62" s="14" t="e">
        <f t="shared" si="1"/>
        <v>#DIV/0!</v>
      </c>
      <c r="R62" s="14">
        <f t="shared" si="2"/>
        <v>96861.111111111109</v>
      </c>
      <c r="S62" s="43">
        <f t="shared" si="3"/>
        <v>2.2236251402918068</v>
      </c>
      <c r="T62" s="38">
        <v>0</v>
      </c>
      <c r="U62" s="5" t="s">
        <v>29</v>
      </c>
      <c r="V62" t="s">
        <v>558</v>
      </c>
      <c r="X62" t="s">
        <v>31</v>
      </c>
      <c r="Y62" s="6" t="s">
        <v>32</v>
      </c>
    </row>
    <row r="63" spans="1:25" x14ac:dyDescent="0.25">
      <c r="A63" t="s">
        <v>51</v>
      </c>
      <c r="B63" t="s">
        <v>52</v>
      </c>
      <c r="C63" s="24">
        <v>44704</v>
      </c>
      <c r="D63" s="14">
        <v>279500</v>
      </c>
      <c r="E63" t="s">
        <v>27</v>
      </c>
      <c r="F63" t="s">
        <v>28</v>
      </c>
      <c r="G63" s="14">
        <v>279500</v>
      </c>
      <c r="H63" s="14">
        <v>116200</v>
      </c>
      <c r="I63" s="19">
        <f t="shared" si="0"/>
        <v>41.574239713774595</v>
      </c>
      <c r="J63" s="14">
        <v>232448</v>
      </c>
      <c r="K63" s="14">
        <f>G63-175248</f>
        <v>104252</v>
      </c>
      <c r="L63" s="14">
        <v>57200</v>
      </c>
      <c r="M63" s="29">
        <v>0</v>
      </c>
      <c r="N63" s="33">
        <v>0</v>
      </c>
      <c r="O63" s="38">
        <v>1.48</v>
      </c>
      <c r="P63" s="38">
        <v>1.48</v>
      </c>
      <c r="Q63" s="14" t="e">
        <f t="shared" si="1"/>
        <v>#DIV/0!</v>
      </c>
      <c r="R63" s="14">
        <f t="shared" si="2"/>
        <v>70440.540540540547</v>
      </c>
      <c r="S63" s="43">
        <f t="shared" si="3"/>
        <v>1.6170922989104808</v>
      </c>
      <c r="T63" s="38">
        <v>0</v>
      </c>
      <c r="U63" s="5" t="s">
        <v>29</v>
      </c>
      <c r="V63" t="s">
        <v>53</v>
      </c>
      <c r="X63" t="s">
        <v>31</v>
      </c>
      <c r="Y63" s="6" t="s">
        <v>32</v>
      </c>
    </row>
    <row r="64" spans="1:25" x14ac:dyDescent="0.25">
      <c r="A64" t="s">
        <v>163</v>
      </c>
      <c r="B64" t="s">
        <v>164</v>
      </c>
      <c r="C64" s="24">
        <v>44652</v>
      </c>
      <c r="D64" s="14">
        <v>380000</v>
      </c>
      <c r="E64" t="s">
        <v>27</v>
      </c>
      <c r="F64" t="s">
        <v>28</v>
      </c>
      <c r="G64" s="14">
        <v>380000</v>
      </c>
      <c r="H64" s="14">
        <v>158800</v>
      </c>
      <c r="I64" s="19">
        <f t="shared" si="0"/>
        <v>41.789473684210527</v>
      </c>
      <c r="J64" s="14">
        <v>317669</v>
      </c>
      <c r="K64" s="14">
        <f>G64-243297</f>
        <v>136703</v>
      </c>
      <c r="L64" s="14">
        <v>74372</v>
      </c>
      <c r="M64" s="29">
        <v>0</v>
      </c>
      <c r="N64" s="33">
        <v>0</v>
      </c>
      <c r="O64" s="38">
        <v>4.3719999999999999</v>
      </c>
      <c r="P64" s="38">
        <v>4.3719999999999999</v>
      </c>
      <c r="Q64" s="14" t="e">
        <f t="shared" si="1"/>
        <v>#DIV/0!</v>
      </c>
      <c r="R64" s="14">
        <f t="shared" si="2"/>
        <v>31267.840805123513</v>
      </c>
      <c r="S64" s="43">
        <f t="shared" si="3"/>
        <v>0.71781085411210999</v>
      </c>
      <c r="T64" s="38">
        <v>0</v>
      </c>
      <c r="U64" s="5" t="s">
        <v>29</v>
      </c>
      <c r="V64" t="s">
        <v>165</v>
      </c>
      <c r="X64" t="s">
        <v>31</v>
      </c>
      <c r="Y64" s="6" t="s">
        <v>32</v>
      </c>
    </row>
    <row r="65" spans="1:38" x14ac:dyDescent="0.25">
      <c r="A65" t="s">
        <v>251</v>
      </c>
      <c r="B65" t="s">
        <v>252</v>
      </c>
      <c r="C65" s="24">
        <v>44943</v>
      </c>
      <c r="D65" s="14">
        <v>282000</v>
      </c>
      <c r="E65" t="s">
        <v>27</v>
      </c>
      <c r="F65" t="s">
        <v>28</v>
      </c>
      <c r="G65" s="14">
        <v>282000</v>
      </c>
      <c r="H65" s="14">
        <v>120900</v>
      </c>
      <c r="I65" s="19">
        <f t="shared" si="0"/>
        <v>42.87234042553191</v>
      </c>
      <c r="J65" s="14">
        <v>241736</v>
      </c>
      <c r="K65" s="14">
        <f>G65-197736</f>
        <v>84264</v>
      </c>
      <c r="L65" s="14">
        <v>44000</v>
      </c>
      <c r="M65" s="29">
        <v>0</v>
      </c>
      <c r="N65" s="33">
        <v>0</v>
      </c>
      <c r="O65" s="38">
        <v>1</v>
      </c>
      <c r="P65" s="38">
        <v>1</v>
      </c>
      <c r="Q65" s="14" t="e">
        <f t="shared" si="1"/>
        <v>#DIV/0!</v>
      </c>
      <c r="R65" s="14">
        <f t="shared" si="2"/>
        <v>84264</v>
      </c>
      <c r="S65" s="43">
        <f t="shared" si="3"/>
        <v>1.934435261707989</v>
      </c>
      <c r="T65" s="38">
        <v>0</v>
      </c>
      <c r="U65" s="5" t="s">
        <v>29</v>
      </c>
      <c r="V65" t="s">
        <v>253</v>
      </c>
      <c r="X65" t="s">
        <v>31</v>
      </c>
      <c r="Y65" s="6" t="s">
        <v>32</v>
      </c>
    </row>
    <row r="66" spans="1:38" x14ac:dyDescent="0.25">
      <c r="A66" t="s">
        <v>166</v>
      </c>
      <c r="B66" t="s">
        <v>167</v>
      </c>
      <c r="C66" s="24">
        <v>45000</v>
      </c>
      <c r="D66" s="14">
        <v>365000</v>
      </c>
      <c r="E66" t="s">
        <v>27</v>
      </c>
      <c r="F66" t="s">
        <v>28</v>
      </c>
      <c r="G66" s="14">
        <v>365000</v>
      </c>
      <c r="H66" s="14">
        <v>157200</v>
      </c>
      <c r="I66" s="19">
        <f t="shared" ref="I66:I129" si="4">H66/G66*100</f>
        <v>43.068493150684937</v>
      </c>
      <c r="J66" s="14">
        <v>314321</v>
      </c>
      <c r="K66" s="14">
        <f>G66-184876</f>
        <v>180124</v>
      </c>
      <c r="L66" s="14">
        <v>129445</v>
      </c>
      <c r="M66" s="29">
        <v>0</v>
      </c>
      <c r="N66" s="33">
        <v>0</v>
      </c>
      <c r="O66" s="38">
        <v>34.450000000000003</v>
      </c>
      <c r="P66" s="38">
        <v>34.450000000000003</v>
      </c>
      <c r="Q66" s="14" t="e">
        <f t="shared" ref="Q66:Q129" si="5">K66/M66</f>
        <v>#DIV/0!</v>
      </c>
      <c r="R66" s="14">
        <f t="shared" ref="R66:R129" si="6">K66/O66</f>
        <v>5228.5631349782288</v>
      </c>
      <c r="S66" s="43">
        <f t="shared" ref="S66:S129" si="7">K66/O66/43560</f>
        <v>0.12003129327314575</v>
      </c>
      <c r="T66" s="38">
        <v>0</v>
      </c>
      <c r="U66" s="5" t="s">
        <v>29</v>
      </c>
      <c r="V66" t="s">
        <v>168</v>
      </c>
      <c r="X66" t="s">
        <v>31</v>
      </c>
      <c r="Y66" s="6" t="s">
        <v>32</v>
      </c>
    </row>
    <row r="67" spans="1:38" x14ac:dyDescent="0.25">
      <c r="A67" t="s">
        <v>25</v>
      </c>
      <c r="B67" t="s">
        <v>26</v>
      </c>
      <c r="C67" s="24">
        <v>45076</v>
      </c>
      <c r="D67" s="14">
        <v>265000</v>
      </c>
      <c r="E67" t="s">
        <v>27</v>
      </c>
      <c r="F67" t="s">
        <v>28</v>
      </c>
      <c r="G67" s="14">
        <v>265000</v>
      </c>
      <c r="H67" s="14">
        <v>114700</v>
      </c>
      <c r="I67" s="19">
        <f t="shared" si="4"/>
        <v>43.283018867924525</v>
      </c>
      <c r="J67" s="14">
        <v>229301</v>
      </c>
      <c r="K67" s="14">
        <f>G67-163301</f>
        <v>101699</v>
      </c>
      <c r="L67" s="14">
        <v>66000</v>
      </c>
      <c r="M67" s="29">
        <v>0</v>
      </c>
      <c r="N67" s="33">
        <v>0</v>
      </c>
      <c r="O67" s="38">
        <v>2</v>
      </c>
      <c r="P67" s="38">
        <v>2</v>
      </c>
      <c r="Q67" s="14" t="e">
        <f t="shared" si="5"/>
        <v>#DIV/0!</v>
      </c>
      <c r="R67" s="14">
        <f t="shared" si="6"/>
        <v>50849.5</v>
      </c>
      <c r="S67" s="43">
        <f t="shared" si="7"/>
        <v>1.1673438934802571</v>
      </c>
      <c r="T67" s="38">
        <v>0</v>
      </c>
      <c r="U67" s="5" t="s">
        <v>29</v>
      </c>
      <c r="V67" t="s">
        <v>30</v>
      </c>
      <c r="X67" t="s">
        <v>31</v>
      </c>
      <c r="Y67" s="6" t="s">
        <v>32</v>
      </c>
      <c r="AJ67" s="2"/>
      <c r="AL67" s="2"/>
    </row>
    <row r="68" spans="1:38" x14ac:dyDescent="0.25">
      <c r="A68" t="s">
        <v>281</v>
      </c>
      <c r="B68" t="s">
        <v>282</v>
      </c>
      <c r="C68" s="24">
        <v>44804</v>
      </c>
      <c r="D68" s="14">
        <v>349900</v>
      </c>
      <c r="E68" t="s">
        <v>27</v>
      </c>
      <c r="F68" t="s">
        <v>28</v>
      </c>
      <c r="G68" s="14">
        <v>349900</v>
      </c>
      <c r="H68" s="14">
        <v>152200</v>
      </c>
      <c r="I68" s="19">
        <f t="shared" si="4"/>
        <v>43.498142326378961</v>
      </c>
      <c r="J68" s="14">
        <v>304427</v>
      </c>
      <c r="K68" s="14">
        <f>G68-237787</f>
        <v>112113</v>
      </c>
      <c r="L68" s="14">
        <v>66640</v>
      </c>
      <c r="M68" s="29">
        <v>0</v>
      </c>
      <c r="N68" s="33">
        <v>0</v>
      </c>
      <c r="O68" s="38">
        <v>2.08</v>
      </c>
      <c r="P68" s="38">
        <v>2.08</v>
      </c>
      <c r="Q68" s="14" t="e">
        <f t="shared" si="5"/>
        <v>#DIV/0!</v>
      </c>
      <c r="R68" s="14">
        <f t="shared" si="6"/>
        <v>53900.480769230766</v>
      </c>
      <c r="S68" s="43">
        <f t="shared" si="7"/>
        <v>1.2373847743165924</v>
      </c>
      <c r="T68" s="38">
        <v>0</v>
      </c>
      <c r="U68" s="5" t="s">
        <v>29</v>
      </c>
      <c r="V68" t="s">
        <v>283</v>
      </c>
      <c r="X68" t="s">
        <v>31</v>
      </c>
      <c r="Y68" s="6" t="s">
        <v>32</v>
      </c>
    </row>
    <row r="69" spans="1:38" x14ac:dyDescent="0.25">
      <c r="A69" t="s">
        <v>219</v>
      </c>
      <c r="B69" t="s">
        <v>220</v>
      </c>
      <c r="C69" s="24">
        <v>44456</v>
      </c>
      <c r="D69" s="14">
        <v>305000</v>
      </c>
      <c r="E69" t="s">
        <v>27</v>
      </c>
      <c r="F69" t="s">
        <v>28</v>
      </c>
      <c r="G69" s="14">
        <v>305000</v>
      </c>
      <c r="H69" s="14">
        <v>132800</v>
      </c>
      <c r="I69" s="19">
        <f t="shared" si="4"/>
        <v>43.540983606557376</v>
      </c>
      <c r="J69" s="14">
        <v>265544</v>
      </c>
      <c r="K69" s="14">
        <f>G69-193259</f>
        <v>111741</v>
      </c>
      <c r="L69" s="14">
        <v>72285</v>
      </c>
      <c r="M69" s="29">
        <v>0</v>
      </c>
      <c r="N69" s="33">
        <v>0</v>
      </c>
      <c r="O69" s="38">
        <v>3.51</v>
      </c>
      <c r="P69" s="38">
        <v>3.51</v>
      </c>
      <c r="Q69" s="14" t="e">
        <f t="shared" si="5"/>
        <v>#DIV/0!</v>
      </c>
      <c r="R69" s="14">
        <f t="shared" si="6"/>
        <v>31835.042735042738</v>
      </c>
      <c r="S69" s="43">
        <f t="shared" si="7"/>
        <v>0.73083201871080661</v>
      </c>
      <c r="T69" s="38">
        <v>0</v>
      </c>
      <c r="U69" s="5" t="s">
        <v>29</v>
      </c>
      <c r="V69" t="s">
        <v>221</v>
      </c>
      <c r="X69" t="s">
        <v>31</v>
      </c>
      <c r="Y69" s="6" t="s">
        <v>32</v>
      </c>
    </row>
    <row r="70" spans="1:38" x14ac:dyDescent="0.25">
      <c r="A70" t="s">
        <v>299</v>
      </c>
      <c r="B70" t="s">
        <v>300</v>
      </c>
      <c r="C70" s="24">
        <v>44312</v>
      </c>
      <c r="D70" s="14">
        <v>183000</v>
      </c>
      <c r="E70" t="s">
        <v>27</v>
      </c>
      <c r="F70" t="s">
        <v>28</v>
      </c>
      <c r="G70" s="14">
        <v>183000</v>
      </c>
      <c r="H70" s="14">
        <v>79700</v>
      </c>
      <c r="I70" s="19">
        <f t="shared" si="4"/>
        <v>43.551912568306008</v>
      </c>
      <c r="J70" s="14">
        <v>159412</v>
      </c>
      <c r="K70" s="14">
        <f>G70-115412</f>
        <v>67588</v>
      </c>
      <c r="L70" s="14">
        <v>44000</v>
      </c>
      <c r="M70" s="29">
        <v>0</v>
      </c>
      <c r="N70" s="33">
        <v>0</v>
      </c>
      <c r="O70" s="38">
        <v>1</v>
      </c>
      <c r="P70" s="38">
        <v>1</v>
      </c>
      <c r="Q70" s="14" t="e">
        <f t="shared" si="5"/>
        <v>#DIV/0!</v>
      </c>
      <c r="R70" s="14">
        <f t="shared" si="6"/>
        <v>67588</v>
      </c>
      <c r="S70" s="43">
        <f t="shared" si="7"/>
        <v>1.5516069788797062</v>
      </c>
      <c r="T70" s="38">
        <v>0</v>
      </c>
      <c r="U70" s="5" t="s">
        <v>29</v>
      </c>
      <c r="V70" t="s">
        <v>301</v>
      </c>
      <c r="X70" t="s">
        <v>31</v>
      </c>
      <c r="Y70" s="6" t="s">
        <v>32</v>
      </c>
    </row>
    <row r="71" spans="1:38" x14ac:dyDescent="0.25">
      <c r="A71" t="s">
        <v>305</v>
      </c>
      <c r="B71" t="s">
        <v>306</v>
      </c>
      <c r="C71" s="24">
        <v>44434</v>
      </c>
      <c r="D71" s="14">
        <v>329000</v>
      </c>
      <c r="E71" t="s">
        <v>27</v>
      </c>
      <c r="F71" t="s">
        <v>28</v>
      </c>
      <c r="G71" s="14">
        <v>329000</v>
      </c>
      <c r="H71" s="14">
        <v>144100</v>
      </c>
      <c r="I71" s="19">
        <f t="shared" si="4"/>
        <v>43.799392097264437</v>
      </c>
      <c r="J71" s="14">
        <v>288290</v>
      </c>
      <c r="K71" s="14">
        <f>G71-195237</f>
        <v>133763</v>
      </c>
      <c r="L71" s="14">
        <v>93053</v>
      </c>
      <c r="M71" s="29">
        <v>0</v>
      </c>
      <c r="N71" s="33">
        <v>0</v>
      </c>
      <c r="O71" s="38">
        <v>8.94</v>
      </c>
      <c r="P71" s="38">
        <v>8.94</v>
      </c>
      <c r="Q71" s="14" t="e">
        <f t="shared" si="5"/>
        <v>#DIV/0!</v>
      </c>
      <c r="R71" s="14">
        <f t="shared" si="6"/>
        <v>14962.304250559286</v>
      </c>
      <c r="S71" s="43">
        <f t="shared" si="7"/>
        <v>0.34348724174837664</v>
      </c>
      <c r="T71" s="38">
        <v>0</v>
      </c>
      <c r="U71" s="5" t="s">
        <v>29</v>
      </c>
      <c r="V71" t="s">
        <v>307</v>
      </c>
      <c r="X71" t="s">
        <v>31</v>
      </c>
      <c r="Y71" s="6" t="s">
        <v>32</v>
      </c>
    </row>
    <row r="72" spans="1:38" x14ac:dyDescent="0.25">
      <c r="A72" t="s">
        <v>266</v>
      </c>
      <c r="B72" t="s">
        <v>267</v>
      </c>
      <c r="C72" s="24">
        <v>44736</v>
      </c>
      <c r="D72" s="14">
        <v>335000</v>
      </c>
      <c r="E72" t="s">
        <v>27</v>
      </c>
      <c r="F72" t="s">
        <v>28</v>
      </c>
      <c r="G72" s="14">
        <v>335000</v>
      </c>
      <c r="H72" s="14">
        <v>148100</v>
      </c>
      <c r="I72" s="19">
        <f t="shared" si="4"/>
        <v>44.208955223880594</v>
      </c>
      <c r="J72" s="14">
        <v>296265</v>
      </c>
      <c r="K72" s="14">
        <f>G72-222790</f>
        <v>112210</v>
      </c>
      <c r="L72" s="14">
        <v>73475</v>
      </c>
      <c r="M72" s="29">
        <v>0</v>
      </c>
      <c r="N72" s="33">
        <v>0</v>
      </c>
      <c r="O72" s="38">
        <v>3.85</v>
      </c>
      <c r="P72" s="38">
        <v>3.85</v>
      </c>
      <c r="Q72" s="14" t="e">
        <f t="shared" si="5"/>
        <v>#DIV/0!</v>
      </c>
      <c r="R72" s="14">
        <f t="shared" si="6"/>
        <v>29145.454545454544</v>
      </c>
      <c r="S72" s="43">
        <f t="shared" si="7"/>
        <v>0.66908756991401619</v>
      </c>
      <c r="T72" s="38">
        <v>0</v>
      </c>
      <c r="U72" s="5" t="s">
        <v>29</v>
      </c>
      <c r="V72" t="s">
        <v>268</v>
      </c>
      <c r="X72" t="s">
        <v>31</v>
      </c>
      <c r="Y72" s="6" t="s">
        <v>32</v>
      </c>
    </row>
    <row r="73" spans="1:38" x14ac:dyDescent="0.25">
      <c r="A73" t="s">
        <v>36</v>
      </c>
      <c r="B73" t="s">
        <v>37</v>
      </c>
      <c r="C73" s="24">
        <v>44659</v>
      </c>
      <c r="D73" s="14">
        <v>451000</v>
      </c>
      <c r="E73" t="s">
        <v>27</v>
      </c>
      <c r="F73" t="s">
        <v>28</v>
      </c>
      <c r="G73" s="14">
        <v>451000</v>
      </c>
      <c r="H73" s="14">
        <v>199700</v>
      </c>
      <c r="I73" s="19">
        <f t="shared" si="4"/>
        <v>44.27937915742794</v>
      </c>
      <c r="J73" s="14">
        <v>399319</v>
      </c>
      <c r="K73" s="14">
        <f>G73-300615</f>
        <v>150385</v>
      </c>
      <c r="L73" s="14">
        <v>98704</v>
      </c>
      <c r="M73" s="29">
        <v>0</v>
      </c>
      <c r="N73" s="33">
        <v>0</v>
      </c>
      <c r="O73" s="38">
        <v>10.16</v>
      </c>
      <c r="P73" s="38">
        <v>10.16</v>
      </c>
      <c r="Q73" s="14" t="e">
        <f t="shared" si="5"/>
        <v>#DIV/0!</v>
      </c>
      <c r="R73" s="14">
        <f t="shared" si="6"/>
        <v>14801.673228346457</v>
      </c>
      <c r="S73" s="43">
        <f t="shared" si="7"/>
        <v>0.33979966088949626</v>
      </c>
      <c r="T73" s="38">
        <v>0</v>
      </c>
      <c r="U73" s="5" t="s">
        <v>29</v>
      </c>
      <c r="V73" t="s">
        <v>38</v>
      </c>
      <c r="X73" t="s">
        <v>31</v>
      </c>
      <c r="Y73" s="6" t="s">
        <v>32</v>
      </c>
    </row>
    <row r="74" spans="1:38" x14ac:dyDescent="0.25">
      <c r="A74" t="s">
        <v>186</v>
      </c>
      <c r="B74" t="s">
        <v>187</v>
      </c>
      <c r="C74" s="24">
        <v>45002</v>
      </c>
      <c r="D74" s="14">
        <v>183700</v>
      </c>
      <c r="E74" t="s">
        <v>27</v>
      </c>
      <c r="F74" t="s">
        <v>28</v>
      </c>
      <c r="G74" s="14">
        <v>183700</v>
      </c>
      <c r="H74" s="14">
        <v>81800</v>
      </c>
      <c r="I74" s="19">
        <f t="shared" si="4"/>
        <v>44.529123571039733</v>
      </c>
      <c r="J74" s="14">
        <v>163531</v>
      </c>
      <c r="K74" s="14">
        <f>G74-119531</f>
        <v>64169</v>
      </c>
      <c r="L74" s="14">
        <v>44000</v>
      </c>
      <c r="M74" s="29">
        <v>0</v>
      </c>
      <c r="N74" s="33">
        <v>0</v>
      </c>
      <c r="O74" s="38">
        <v>1</v>
      </c>
      <c r="P74" s="38">
        <v>1</v>
      </c>
      <c r="Q74" s="14" t="e">
        <f t="shared" si="5"/>
        <v>#DIV/0!</v>
      </c>
      <c r="R74" s="14">
        <f t="shared" si="6"/>
        <v>64169</v>
      </c>
      <c r="S74" s="43">
        <f t="shared" si="7"/>
        <v>1.47311753902663</v>
      </c>
      <c r="T74" s="38">
        <v>0</v>
      </c>
      <c r="U74" s="5" t="s">
        <v>29</v>
      </c>
      <c r="V74" t="s">
        <v>188</v>
      </c>
      <c r="X74" t="s">
        <v>31</v>
      </c>
      <c r="Y74" s="6" t="s">
        <v>32</v>
      </c>
    </row>
    <row r="75" spans="1:38" x14ac:dyDescent="0.25">
      <c r="A75" t="s">
        <v>257</v>
      </c>
      <c r="B75" t="s">
        <v>258</v>
      </c>
      <c r="C75" s="24">
        <v>44306</v>
      </c>
      <c r="D75" s="14">
        <v>174000</v>
      </c>
      <c r="E75" t="s">
        <v>27</v>
      </c>
      <c r="F75" t="s">
        <v>28</v>
      </c>
      <c r="G75" s="14">
        <v>174000</v>
      </c>
      <c r="H75" s="14">
        <v>77600</v>
      </c>
      <c r="I75" s="19">
        <f t="shared" si="4"/>
        <v>44.597701149425291</v>
      </c>
      <c r="J75" s="14">
        <v>155235</v>
      </c>
      <c r="K75" s="14">
        <f>G75-100785</f>
        <v>73215</v>
      </c>
      <c r="L75" s="14">
        <v>54450</v>
      </c>
      <c r="M75" s="29">
        <v>0</v>
      </c>
      <c r="N75" s="33">
        <v>0</v>
      </c>
      <c r="O75" s="38">
        <v>1.38</v>
      </c>
      <c r="P75" s="38">
        <v>1.38</v>
      </c>
      <c r="Q75" s="14" t="e">
        <f t="shared" si="5"/>
        <v>#DIV/0!</v>
      </c>
      <c r="R75" s="14">
        <f t="shared" si="6"/>
        <v>53054.34782608696</v>
      </c>
      <c r="S75" s="43">
        <f t="shared" si="7"/>
        <v>1.2179602347586538</v>
      </c>
      <c r="T75" s="38">
        <v>0</v>
      </c>
      <c r="U75" s="5" t="s">
        <v>29</v>
      </c>
      <c r="V75" t="s">
        <v>259</v>
      </c>
      <c r="X75" t="s">
        <v>31</v>
      </c>
      <c r="Y75" s="6" t="s">
        <v>32</v>
      </c>
    </row>
    <row r="76" spans="1:38" x14ac:dyDescent="0.25">
      <c r="A76" t="s">
        <v>293</v>
      </c>
      <c r="B76" t="s">
        <v>294</v>
      </c>
      <c r="C76" s="24">
        <v>44532</v>
      </c>
      <c r="D76" s="14">
        <v>316000</v>
      </c>
      <c r="E76" t="s">
        <v>27</v>
      </c>
      <c r="F76" t="s">
        <v>28</v>
      </c>
      <c r="G76" s="14">
        <v>316000</v>
      </c>
      <c r="H76" s="14">
        <v>141000</v>
      </c>
      <c r="I76" s="19">
        <f t="shared" si="4"/>
        <v>44.620253164556964</v>
      </c>
      <c r="J76" s="14">
        <v>282000</v>
      </c>
      <c r="K76" s="14">
        <f>G76-183692</f>
        <v>132308</v>
      </c>
      <c r="L76" s="14">
        <v>98308</v>
      </c>
      <c r="M76" s="29">
        <v>0</v>
      </c>
      <c r="N76" s="33">
        <v>0</v>
      </c>
      <c r="O76" s="38">
        <v>10.07</v>
      </c>
      <c r="P76" s="38">
        <v>10.07</v>
      </c>
      <c r="Q76" s="14" t="e">
        <f t="shared" si="5"/>
        <v>#DIV/0!</v>
      </c>
      <c r="R76" s="14">
        <f t="shared" si="6"/>
        <v>13138.828202581926</v>
      </c>
      <c r="S76" s="43">
        <f t="shared" si="7"/>
        <v>0.30162599179481003</v>
      </c>
      <c r="T76" s="38">
        <v>0</v>
      </c>
      <c r="U76" s="5" t="s">
        <v>29</v>
      </c>
      <c r="V76" t="s">
        <v>295</v>
      </c>
      <c r="X76" t="s">
        <v>31</v>
      </c>
      <c r="Y76" s="6" t="s">
        <v>32</v>
      </c>
    </row>
    <row r="77" spans="1:38" x14ac:dyDescent="0.25">
      <c r="A77" t="s">
        <v>66</v>
      </c>
      <c r="B77" t="s">
        <v>67</v>
      </c>
      <c r="C77" s="24">
        <v>44344</v>
      </c>
      <c r="D77" s="14">
        <v>330000</v>
      </c>
      <c r="E77" t="s">
        <v>27</v>
      </c>
      <c r="F77" t="s">
        <v>28</v>
      </c>
      <c r="G77" s="14">
        <v>330000</v>
      </c>
      <c r="H77" s="14">
        <v>147500</v>
      </c>
      <c r="I77" s="19">
        <f t="shared" si="4"/>
        <v>44.696969696969695</v>
      </c>
      <c r="J77" s="14">
        <v>295081</v>
      </c>
      <c r="K77" s="14">
        <f>G77-247231</f>
        <v>82769</v>
      </c>
      <c r="L77" s="14">
        <v>47850</v>
      </c>
      <c r="M77" s="29">
        <v>0</v>
      </c>
      <c r="N77" s="33">
        <v>0</v>
      </c>
      <c r="O77" s="38">
        <v>1.1399999999999999</v>
      </c>
      <c r="P77" s="38">
        <v>1.1399999999999999</v>
      </c>
      <c r="Q77" s="14" t="e">
        <f t="shared" si="5"/>
        <v>#DIV/0!</v>
      </c>
      <c r="R77" s="14">
        <f t="shared" si="6"/>
        <v>72604.38596491229</v>
      </c>
      <c r="S77" s="43">
        <f t="shared" si="7"/>
        <v>1.6667673545663979</v>
      </c>
      <c r="T77" s="38">
        <v>0</v>
      </c>
      <c r="U77" s="5" t="s">
        <v>29</v>
      </c>
      <c r="V77" t="s">
        <v>68</v>
      </c>
      <c r="X77" t="s">
        <v>31</v>
      </c>
      <c r="Y77" s="6" t="s">
        <v>32</v>
      </c>
    </row>
    <row r="78" spans="1:38" x14ac:dyDescent="0.25">
      <c r="A78" t="s">
        <v>195</v>
      </c>
      <c r="B78" t="s">
        <v>196</v>
      </c>
      <c r="C78" s="24">
        <v>44755</v>
      </c>
      <c r="D78" s="14">
        <v>325000</v>
      </c>
      <c r="E78" t="s">
        <v>27</v>
      </c>
      <c r="F78" t="s">
        <v>28</v>
      </c>
      <c r="G78" s="14">
        <v>325000</v>
      </c>
      <c r="H78" s="14">
        <v>145900</v>
      </c>
      <c r="I78" s="19">
        <f t="shared" si="4"/>
        <v>44.892307692307689</v>
      </c>
      <c r="J78" s="14">
        <v>291707</v>
      </c>
      <c r="K78" s="14">
        <f>G78-228677</f>
        <v>96323</v>
      </c>
      <c r="L78" s="14">
        <v>63030</v>
      </c>
      <c r="M78" s="29">
        <v>0</v>
      </c>
      <c r="N78" s="33">
        <v>0</v>
      </c>
      <c r="O78" s="38">
        <v>1.82</v>
      </c>
      <c r="P78" s="38">
        <v>1.82</v>
      </c>
      <c r="Q78" s="14" t="e">
        <f t="shared" si="5"/>
        <v>#DIV/0!</v>
      </c>
      <c r="R78" s="14">
        <f t="shared" si="6"/>
        <v>52924.725274725271</v>
      </c>
      <c r="S78" s="43">
        <f t="shared" si="7"/>
        <v>1.2149845104390558</v>
      </c>
      <c r="T78" s="38">
        <v>0</v>
      </c>
      <c r="U78" s="5" t="s">
        <v>29</v>
      </c>
      <c r="V78" t="s">
        <v>197</v>
      </c>
      <c r="X78" t="s">
        <v>31</v>
      </c>
      <c r="Y78" s="6" t="s">
        <v>32</v>
      </c>
    </row>
    <row r="79" spans="1:38" x14ac:dyDescent="0.25">
      <c r="A79" t="s">
        <v>174</v>
      </c>
      <c r="B79" t="s">
        <v>175</v>
      </c>
      <c r="C79" s="24">
        <v>44904</v>
      </c>
      <c r="D79" s="14">
        <v>339300</v>
      </c>
      <c r="E79" t="s">
        <v>27</v>
      </c>
      <c r="F79" t="s">
        <v>28</v>
      </c>
      <c r="G79" s="14">
        <v>339300</v>
      </c>
      <c r="H79" s="14">
        <v>152500</v>
      </c>
      <c r="I79" s="19">
        <f t="shared" si="4"/>
        <v>44.945475979958736</v>
      </c>
      <c r="J79" s="14">
        <v>305016</v>
      </c>
      <c r="K79" s="14">
        <f>G79-214669</f>
        <v>124631</v>
      </c>
      <c r="L79" s="14">
        <v>90347</v>
      </c>
      <c r="M79" s="29">
        <v>0</v>
      </c>
      <c r="N79" s="33">
        <v>0</v>
      </c>
      <c r="O79" s="38">
        <v>8.36</v>
      </c>
      <c r="P79" s="38">
        <v>8.36</v>
      </c>
      <c r="Q79" s="14" t="e">
        <f t="shared" si="5"/>
        <v>#DIV/0!</v>
      </c>
      <c r="R79" s="14">
        <f t="shared" si="6"/>
        <v>14908.014354066987</v>
      </c>
      <c r="S79" s="43">
        <f t="shared" si="7"/>
        <v>0.34224091721916866</v>
      </c>
      <c r="T79" s="38">
        <v>0</v>
      </c>
      <c r="U79" s="5" t="s">
        <v>29</v>
      </c>
      <c r="V79" t="s">
        <v>176</v>
      </c>
      <c r="X79" t="s">
        <v>31</v>
      </c>
      <c r="Y79" s="6" t="s">
        <v>32</v>
      </c>
    </row>
    <row r="80" spans="1:38" x14ac:dyDescent="0.25">
      <c r="A80" t="s">
        <v>239</v>
      </c>
      <c r="B80" t="s">
        <v>240</v>
      </c>
      <c r="C80" s="24">
        <v>44742</v>
      </c>
      <c r="D80" s="14">
        <v>370400</v>
      </c>
      <c r="E80" t="s">
        <v>27</v>
      </c>
      <c r="F80" t="s">
        <v>28</v>
      </c>
      <c r="G80" s="14">
        <v>370400</v>
      </c>
      <c r="H80" s="14">
        <v>167100</v>
      </c>
      <c r="I80" s="19">
        <f t="shared" si="4"/>
        <v>45.1133909287257</v>
      </c>
      <c r="J80" s="14">
        <v>334229</v>
      </c>
      <c r="K80" s="14">
        <f>G80-265989</f>
        <v>104411</v>
      </c>
      <c r="L80" s="14">
        <v>68240</v>
      </c>
      <c r="M80" s="29">
        <v>0</v>
      </c>
      <c r="N80" s="33">
        <v>0</v>
      </c>
      <c r="O80" s="38">
        <v>2.2799999999999998</v>
      </c>
      <c r="P80" s="38">
        <v>2.2799999999999998</v>
      </c>
      <c r="Q80" s="14" t="e">
        <f t="shared" si="5"/>
        <v>#DIV/0!</v>
      </c>
      <c r="R80" s="14">
        <f t="shared" si="6"/>
        <v>45794.298245614038</v>
      </c>
      <c r="S80" s="43">
        <f t="shared" si="7"/>
        <v>1.0512924298809467</v>
      </c>
      <c r="T80" s="38">
        <v>0</v>
      </c>
      <c r="U80" s="5" t="s">
        <v>29</v>
      </c>
      <c r="V80" t="s">
        <v>241</v>
      </c>
      <c r="X80" t="s">
        <v>31</v>
      </c>
      <c r="Y80" s="6" t="s">
        <v>32</v>
      </c>
    </row>
    <row r="81" spans="1:25" x14ac:dyDescent="0.25">
      <c r="A81" t="s">
        <v>171</v>
      </c>
      <c r="B81" t="s">
        <v>172</v>
      </c>
      <c r="C81" s="24">
        <v>45016</v>
      </c>
      <c r="D81" s="14">
        <v>299900</v>
      </c>
      <c r="E81" t="s">
        <v>27</v>
      </c>
      <c r="F81" t="s">
        <v>28</v>
      </c>
      <c r="G81" s="14">
        <v>299900</v>
      </c>
      <c r="H81" s="14">
        <v>135600</v>
      </c>
      <c r="I81" s="19">
        <f t="shared" si="4"/>
        <v>45.215071690563519</v>
      </c>
      <c r="J81" s="14">
        <v>271209</v>
      </c>
      <c r="K81" s="14">
        <f>G81-205209</f>
        <v>94691</v>
      </c>
      <c r="L81" s="14">
        <v>66000</v>
      </c>
      <c r="M81" s="29">
        <v>0</v>
      </c>
      <c r="N81" s="33">
        <v>0</v>
      </c>
      <c r="O81" s="38">
        <v>2</v>
      </c>
      <c r="P81" s="38">
        <v>2</v>
      </c>
      <c r="Q81" s="14" t="e">
        <f t="shared" si="5"/>
        <v>#DIV/0!</v>
      </c>
      <c r="R81" s="14">
        <f t="shared" si="6"/>
        <v>47345.5</v>
      </c>
      <c r="S81" s="43">
        <f t="shared" si="7"/>
        <v>1.0869031221303949</v>
      </c>
      <c r="T81" s="38">
        <v>0</v>
      </c>
      <c r="U81" s="5" t="s">
        <v>29</v>
      </c>
      <c r="V81" t="s">
        <v>173</v>
      </c>
      <c r="X81" t="s">
        <v>31</v>
      </c>
      <c r="Y81" s="6" t="s">
        <v>32</v>
      </c>
    </row>
    <row r="82" spans="1:25" x14ac:dyDescent="0.25">
      <c r="A82" t="s">
        <v>559</v>
      </c>
      <c r="B82" t="s">
        <v>560</v>
      </c>
      <c r="C82" s="24">
        <v>44426</v>
      </c>
      <c r="D82" s="14">
        <v>210000</v>
      </c>
      <c r="E82" t="s">
        <v>27</v>
      </c>
      <c r="F82" t="s">
        <v>28</v>
      </c>
      <c r="G82" s="14">
        <v>210000</v>
      </c>
      <c r="H82" s="14">
        <v>95100</v>
      </c>
      <c r="I82" s="19">
        <f t="shared" si="4"/>
        <v>45.285714285714285</v>
      </c>
      <c r="J82" s="14">
        <v>190268</v>
      </c>
      <c r="K82" s="14">
        <f>G82-140768</f>
        <v>69232</v>
      </c>
      <c r="L82" s="14">
        <v>49500</v>
      </c>
      <c r="M82" s="29">
        <v>0</v>
      </c>
      <c r="N82" s="33">
        <v>0</v>
      </c>
      <c r="O82" s="38">
        <v>1.2</v>
      </c>
      <c r="P82" s="38">
        <v>1.2</v>
      </c>
      <c r="Q82" s="14" t="e">
        <f t="shared" si="5"/>
        <v>#DIV/0!</v>
      </c>
      <c r="R82" s="14">
        <f t="shared" si="6"/>
        <v>57693.333333333336</v>
      </c>
      <c r="S82" s="43">
        <f t="shared" si="7"/>
        <v>1.3244566880930517</v>
      </c>
      <c r="T82" s="38">
        <v>0</v>
      </c>
      <c r="U82" s="5" t="s">
        <v>29</v>
      </c>
      <c r="V82" t="s">
        <v>561</v>
      </c>
      <c r="X82" t="s">
        <v>31</v>
      </c>
      <c r="Y82" s="6" t="s">
        <v>32</v>
      </c>
    </row>
    <row r="83" spans="1:25" x14ac:dyDescent="0.25">
      <c r="A83" t="s">
        <v>141</v>
      </c>
      <c r="B83" t="s">
        <v>142</v>
      </c>
      <c r="C83" s="24">
        <v>45007</v>
      </c>
      <c r="D83" s="14">
        <v>525000</v>
      </c>
      <c r="E83" t="s">
        <v>27</v>
      </c>
      <c r="F83" t="s">
        <v>28</v>
      </c>
      <c r="G83" s="14">
        <v>525000</v>
      </c>
      <c r="H83" s="14">
        <v>237900</v>
      </c>
      <c r="I83" s="19">
        <f t="shared" si="4"/>
        <v>45.31428571428571</v>
      </c>
      <c r="J83" s="14">
        <v>475739</v>
      </c>
      <c r="K83" s="14">
        <f>G83-363439</f>
        <v>161561</v>
      </c>
      <c r="L83" s="14">
        <v>112300</v>
      </c>
      <c r="M83" s="29">
        <v>0</v>
      </c>
      <c r="N83" s="33">
        <v>0</v>
      </c>
      <c r="O83" s="38">
        <v>13.25</v>
      </c>
      <c r="P83" s="38">
        <v>13.25</v>
      </c>
      <c r="Q83" s="14" t="e">
        <f t="shared" si="5"/>
        <v>#DIV/0!</v>
      </c>
      <c r="R83" s="14">
        <f t="shared" si="6"/>
        <v>12193.283018867925</v>
      </c>
      <c r="S83" s="43">
        <f t="shared" si="7"/>
        <v>0.27991926122286331</v>
      </c>
      <c r="T83" s="38">
        <v>0</v>
      </c>
      <c r="U83" s="5" t="s">
        <v>29</v>
      </c>
      <c r="V83" t="s">
        <v>143</v>
      </c>
      <c r="X83" t="s">
        <v>31</v>
      </c>
      <c r="Y83" s="6" t="s">
        <v>32</v>
      </c>
    </row>
    <row r="84" spans="1:25" x14ac:dyDescent="0.25">
      <c r="A84" t="s">
        <v>72</v>
      </c>
      <c r="B84" t="s">
        <v>73</v>
      </c>
      <c r="C84" s="24">
        <v>45184</v>
      </c>
      <c r="D84" s="14">
        <v>200000</v>
      </c>
      <c r="E84" t="s">
        <v>27</v>
      </c>
      <c r="F84" t="s">
        <v>28</v>
      </c>
      <c r="G84" s="14">
        <v>200000</v>
      </c>
      <c r="H84" s="14">
        <v>92600</v>
      </c>
      <c r="I84" s="19">
        <f t="shared" si="4"/>
        <v>46.300000000000004</v>
      </c>
      <c r="J84" s="14">
        <v>185222</v>
      </c>
      <c r="K84" s="14">
        <f>G84-116422</f>
        <v>83578</v>
      </c>
      <c r="L84" s="14">
        <v>68800</v>
      </c>
      <c r="M84" s="29">
        <v>0</v>
      </c>
      <c r="N84" s="33">
        <v>0</v>
      </c>
      <c r="O84" s="38">
        <v>2.35</v>
      </c>
      <c r="P84" s="38">
        <v>2.35</v>
      </c>
      <c r="Q84" s="14" t="e">
        <f t="shared" si="5"/>
        <v>#DIV/0!</v>
      </c>
      <c r="R84" s="14">
        <f t="shared" si="6"/>
        <v>35565.106382978724</v>
      </c>
      <c r="S84" s="43">
        <f t="shared" si="7"/>
        <v>0.81646249731356113</v>
      </c>
      <c r="T84" s="38">
        <v>0</v>
      </c>
      <c r="U84" s="5" t="s">
        <v>29</v>
      </c>
      <c r="V84" t="s">
        <v>74</v>
      </c>
      <c r="X84" t="s">
        <v>31</v>
      </c>
      <c r="Y84" s="6" t="s">
        <v>32</v>
      </c>
    </row>
    <row r="85" spans="1:25" x14ac:dyDescent="0.25">
      <c r="A85" t="s">
        <v>535</v>
      </c>
      <c r="B85" t="s">
        <v>536</v>
      </c>
      <c r="C85" s="24">
        <v>44553</v>
      </c>
      <c r="D85" s="14">
        <v>185000</v>
      </c>
      <c r="E85" t="s">
        <v>27</v>
      </c>
      <c r="F85" t="s">
        <v>28</v>
      </c>
      <c r="G85" s="14">
        <v>185000</v>
      </c>
      <c r="H85" s="14">
        <v>87200</v>
      </c>
      <c r="I85" s="19">
        <f t="shared" si="4"/>
        <v>47.135135135135137</v>
      </c>
      <c r="J85" s="14">
        <v>174476</v>
      </c>
      <c r="K85" s="14">
        <f>G85-104446</f>
        <v>80554</v>
      </c>
      <c r="L85" s="14">
        <v>70030</v>
      </c>
      <c r="M85" s="29">
        <v>0</v>
      </c>
      <c r="N85" s="33">
        <v>0</v>
      </c>
      <c r="O85" s="38">
        <v>2.5299999999999998</v>
      </c>
      <c r="P85" s="38">
        <v>2.5299999999999998</v>
      </c>
      <c r="Q85" s="14" t="e">
        <f t="shared" si="5"/>
        <v>#DIV/0!</v>
      </c>
      <c r="R85" s="14">
        <f t="shared" si="6"/>
        <v>31839.525691699608</v>
      </c>
      <c r="S85" s="43">
        <f t="shared" si="7"/>
        <v>0.7309349332346099</v>
      </c>
      <c r="T85" s="38">
        <v>0</v>
      </c>
      <c r="U85" s="5" t="s">
        <v>29</v>
      </c>
      <c r="V85" t="s">
        <v>537</v>
      </c>
      <c r="X85" t="s">
        <v>31</v>
      </c>
      <c r="Y85" s="6" t="s">
        <v>32</v>
      </c>
    </row>
    <row r="86" spans="1:25" x14ac:dyDescent="0.25">
      <c r="A86" t="s">
        <v>317</v>
      </c>
      <c r="B86" t="s">
        <v>318</v>
      </c>
      <c r="C86" s="24">
        <v>44782</v>
      </c>
      <c r="D86" s="14">
        <v>225000</v>
      </c>
      <c r="E86" t="s">
        <v>27</v>
      </c>
      <c r="F86" t="s">
        <v>28</v>
      </c>
      <c r="G86" s="14">
        <v>225000</v>
      </c>
      <c r="H86" s="14">
        <v>106700</v>
      </c>
      <c r="I86" s="19">
        <f t="shared" si="4"/>
        <v>47.422222222222224</v>
      </c>
      <c r="J86" s="14">
        <v>213365</v>
      </c>
      <c r="K86" s="14">
        <f>G86-115365</f>
        <v>109635</v>
      </c>
      <c r="L86" s="14">
        <v>98000</v>
      </c>
      <c r="M86" s="29">
        <v>0</v>
      </c>
      <c r="N86" s="33">
        <v>0</v>
      </c>
      <c r="O86" s="38">
        <v>10</v>
      </c>
      <c r="P86" s="38">
        <v>10</v>
      </c>
      <c r="Q86" s="14" t="e">
        <f t="shared" si="5"/>
        <v>#DIV/0!</v>
      </c>
      <c r="R86" s="14">
        <f t="shared" si="6"/>
        <v>10963.5</v>
      </c>
      <c r="S86" s="43">
        <f t="shared" si="7"/>
        <v>0.25168732782369146</v>
      </c>
      <c r="T86" s="38">
        <v>0</v>
      </c>
      <c r="U86" s="5" t="s">
        <v>29</v>
      </c>
      <c r="V86" t="s">
        <v>319</v>
      </c>
      <c r="X86" t="s">
        <v>31</v>
      </c>
      <c r="Y86" s="6" t="s">
        <v>32</v>
      </c>
    </row>
    <row r="87" spans="1:25" x14ac:dyDescent="0.25">
      <c r="A87" t="s">
        <v>284</v>
      </c>
      <c r="B87" t="s">
        <v>285</v>
      </c>
      <c r="C87" s="24">
        <v>44495</v>
      </c>
      <c r="D87" s="14">
        <v>199900</v>
      </c>
      <c r="E87" t="s">
        <v>27</v>
      </c>
      <c r="F87" t="s">
        <v>28</v>
      </c>
      <c r="G87" s="14">
        <v>199900</v>
      </c>
      <c r="H87" s="14">
        <v>96100</v>
      </c>
      <c r="I87" s="19">
        <f t="shared" si="4"/>
        <v>48.074037018509252</v>
      </c>
      <c r="J87" s="14">
        <v>192176</v>
      </c>
      <c r="K87" s="14">
        <f>G87-125936</f>
        <v>73964</v>
      </c>
      <c r="L87" s="14">
        <v>66240</v>
      </c>
      <c r="M87" s="29">
        <v>0</v>
      </c>
      <c r="N87" s="33">
        <v>0</v>
      </c>
      <c r="O87" s="38">
        <v>2.0299999999999998</v>
      </c>
      <c r="P87" s="38">
        <v>2.0299999999999998</v>
      </c>
      <c r="Q87" s="14" t="e">
        <f t="shared" si="5"/>
        <v>#DIV/0!</v>
      </c>
      <c r="R87" s="14">
        <f t="shared" si="6"/>
        <v>36435.467980295572</v>
      </c>
      <c r="S87" s="43">
        <f t="shared" si="7"/>
        <v>0.8364432502363538</v>
      </c>
      <c r="T87" s="38">
        <v>0</v>
      </c>
      <c r="U87" s="5" t="s">
        <v>29</v>
      </c>
      <c r="V87" t="s">
        <v>286</v>
      </c>
      <c r="X87" t="s">
        <v>31</v>
      </c>
      <c r="Y87" s="6" t="s">
        <v>32</v>
      </c>
    </row>
    <row r="88" spans="1:25" x14ac:dyDescent="0.25">
      <c r="A88" t="s">
        <v>33</v>
      </c>
      <c r="B88" t="s">
        <v>34</v>
      </c>
      <c r="C88" s="24">
        <v>44897</v>
      </c>
      <c r="D88" s="14">
        <v>142400</v>
      </c>
      <c r="E88" t="s">
        <v>27</v>
      </c>
      <c r="F88" t="s">
        <v>28</v>
      </c>
      <c r="G88" s="14">
        <v>142400</v>
      </c>
      <c r="H88" s="14">
        <v>69200</v>
      </c>
      <c r="I88" s="19">
        <f t="shared" si="4"/>
        <v>48.59550561797753</v>
      </c>
      <c r="J88" s="14">
        <v>138336</v>
      </c>
      <c r="K88" s="14">
        <f>G88-97856</f>
        <v>44544</v>
      </c>
      <c r="L88" s="14">
        <v>40480</v>
      </c>
      <c r="M88" s="29">
        <v>0</v>
      </c>
      <c r="N88" s="33">
        <v>0</v>
      </c>
      <c r="O88" s="38">
        <v>0.92</v>
      </c>
      <c r="P88" s="38">
        <v>0.92</v>
      </c>
      <c r="Q88" s="14" t="e">
        <f t="shared" si="5"/>
        <v>#DIV/0!</v>
      </c>
      <c r="R88" s="14">
        <f t="shared" si="6"/>
        <v>48417.391304347824</v>
      </c>
      <c r="S88" s="43">
        <f t="shared" si="7"/>
        <v>1.1115103605222181</v>
      </c>
      <c r="T88" s="38">
        <v>0</v>
      </c>
      <c r="U88" s="5" t="s">
        <v>29</v>
      </c>
      <c r="V88" t="s">
        <v>35</v>
      </c>
      <c r="X88" t="s">
        <v>31</v>
      </c>
      <c r="Y88" s="6" t="s">
        <v>32</v>
      </c>
    </row>
    <row r="89" spans="1:25" x14ac:dyDescent="0.25">
      <c r="A89" t="s">
        <v>198</v>
      </c>
      <c r="B89" t="s">
        <v>199</v>
      </c>
      <c r="C89" s="24">
        <v>44523</v>
      </c>
      <c r="D89" s="14">
        <v>282500</v>
      </c>
      <c r="E89" t="s">
        <v>27</v>
      </c>
      <c r="F89" t="s">
        <v>28</v>
      </c>
      <c r="G89" s="14">
        <v>282500</v>
      </c>
      <c r="H89" s="14">
        <v>137500</v>
      </c>
      <c r="I89" s="19">
        <f t="shared" si="4"/>
        <v>48.672566371681413</v>
      </c>
      <c r="J89" s="14">
        <v>274993</v>
      </c>
      <c r="K89" s="14">
        <f>G89-205793</f>
        <v>76707</v>
      </c>
      <c r="L89" s="14">
        <v>69200</v>
      </c>
      <c r="M89" s="29">
        <v>0</v>
      </c>
      <c r="N89" s="33">
        <v>0</v>
      </c>
      <c r="O89" s="38">
        <v>2.4</v>
      </c>
      <c r="P89" s="38">
        <v>2.4</v>
      </c>
      <c r="Q89" s="14" t="e">
        <f t="shared" si="5"/>
        <v>#DIV/0!</v>
      </c>
      <c r="R89" s="14">
        <f t="shared" si="6"/>
        <v>31961.25</v>
      </c>
      <c r="S89" s="43">
        <f t="shared" si="7"/>
        <v>0.7337293388429752</v>
      </c>
      <c r="T89" s="38">
        <v>0</v>
      </c>
      <c r="U89" s="5" t="s">
        <v>29</v>
      </c>
      <c r="V89" t="s">
        <v>200</v>
      </c>
      <c r="X89" t="s">
        <v>31</v>
      </c>
      <c r="Y89" s="6" t="s">
        <v>32</v>
      </c>
    </row>
    <row r="90" spans="1:25" x14ac:dyDescent="0.25">
      <c r="A90" t="s">
        <v>569</v>
      </c>
      <c r="B90" t="s">
        <v>570</v>
      </c>
      <c r="C90" s="24">
        <v>45148</v>
      </c>
      <c r="D90" s="14">
        <v>230000</v>
      </c>
      <c r="E90" t="s">
        <v>27</v>
      </c>
      <c r="F90" t="s">
        <v>28</v>
      </c>
      <c r="G90" s="14">
        <v>230000</v>
      </c>
      <c r="H90" s="14">
        <v>112000</v>
      </c>
      <c r="I90" s="19">
        <f t="shared" si="4"/>
        <v>48.695652173913047</v>
      </c>
      <c r="J90" s="14">
        <v>223922</v>
      </c>
      <c r="K90" s="14">
        <f>G90-211162</f>
        <v>18838</v>
      </c>
      <c r="L90" s="14">
        <v>12760</v>
      </c>
      <c r="M90" s="29">
        <v>0</v>
      </c>
      <c r="N90" s="33">
        <v>0</v>
      </c>
      <c r="O90" s="38">
        <v>0.28999999999999998</v>
      </c>
      <c r="P90" s="38">
        <v>0.28999999999999998</v>
      </c>
      <c r="Q90" s="14" t="e">
        <f t="shared" si="5"/>
        <v>#DIV/0!</v>
      </c>
      <c r="R90" s="14">
        <f t="shared" si="6"/>
        <v>64958.620689655174</v>
      </c>
      <c r="S90" s="43">
        <f t="shared" si="7"/>
        <v>1.4912447357588423</v>
      </c>
      <c r="T90" s="38">
        <v>0</v>
      </c>
      <c r="U90" s="5" t="s">
        <v>29</v>
      </c>
      <c r="V90" t="s">
        <v>571</v>
      </c>
      <c r="X90" t="s">
        <v>31</v>
      </c>
      <c r="Y90" s="6" t="s">
        <v>32</v>
      </c>
    </row>
    <row r="91" spans="1:25" x14ac:dyDescent="0.25">
      <c r="A91" t="s">
        <v>192</v>
      </c>
      <c r="B91" t="s">
        <v>193</v>
      </c>
      <c r="C91" s="24">
        <v>44769</v>
      </c>
      <c r="D91" s="14">
        <v>340000</v>
      </c>
      <c r="E91" t="s">
        <v>27</v>
      </c>
      <c r="F91" t="s">
        <v>28</v>
      </c>
      <c r="G91" s="14">
        <v>340000</v>
      </c>
      <c r="H91" s="14">
        <v>165800</v>
      </c>
      <c r="I91" s="19">
        <f t="shared" si="4"/>
        <v>48.764705882352942</v>
      </c>
      <c r="J91" s="14">
        <v>331510</v>
      </c>
      <c r="K91" s="14">
        <f>G91-258350</f>
        <v>81650</v>
      </c>
      <c r="L91" s="14">
        <v>73160</v>
      </c>
      <c r="M91" s="29">
        <v>0</v>
      </c>
      <c r="N91" s="33">
        <v>0</v>
      </c>
      <c r="O91" s="38">
        <v>3.76</v>
      </c>
      <c r="P91" s="38">
        <v>3.76</v>
      </c>
      <c r="Q91" s="14" t="e">
        <f t="shared" si="5"/>
        <v>#DIV/0!</v>
      </c>
      <c r="R91" s="14">
        <f t="shared" si="6"/>
        <v>21715.425531914894</v>
      </c>
      <c r="S91" s="43">
        <f t="shared" si="7"/>
        <v>0.49851757419455678</v>
      </c>
      <c r="T91" s="38">
        <v>0</v>
      </c>
      <c r="U91" s="5" t="s">
        <v>29</v>
      </c>
      <c r="V91" t="s">
        <v>194</v>
      </c>
      <c r="X91" t="s">
        <v>31</v>
      </c>
      <c r="Y91" s="6" t="s">
        <v>32</v>
      </c>
    </row>
    <row r="92" spans="1:25" x14ac:dyDescent="0.25">
      <c r="A92" t="s">
        <v>107</v>
      </c>
      <c r="B92" t="s">
        <v>108</v>
      </c>
      <c r="C92" s="24">
        <v>44764</v>
      </c>
      <c r="D92" s="14">
        <v>182500</v>
      </c>
      <c r="E92" t="s">
        <v>27</v>
      </c>
      <c r="F92" t="s">
        <v>28</v>
      </c>
      <c r="G92" s="14">
        <v>182500</v>
      </c>
      <c r="H92" s="14">
        <v>89000</v>
      </c>
      <c r="I92" s="19">
        <f t="shared" si="4"/>
        <v>48.767123287671232</v>
      </c>
      <c r="J92" s="14">
        <v>178015</v>
      </c>
      <c r="K92" s="14">
        <f>G92-115975</f>
        <v>66525</v>
      </c>
      <c r="L92" s="14">
        <v>62040</v>
      </c>
      <c r="M92" s="29">
        <v>0</v>
      </c>
      <c r="N92" s="33">
        <v>0</v>
      </c>
      <c r="O92" s="38">
        <v>1.76</v>
      </c>
      <c r="P92" s="38">
        <v>1.76</v>
      </c>
      <c r="Q92" s="14" t="e">
        <f t="shared" si="5"/>
        <v>#DIV/0!</v>
      </c>
      <c r="R92" s="14">
        <f t="shared" si="6"/>
        <v>37798.295454545456</v>
      </c>
      <c r="S92" s="43">
        <f t="shared" si="7"/>
        <v>0.86772946406210871</v>
      </c>
      <c r="T92" s="38">
        <v>0</v>
      </c>
      <c r="U92" s="5" t="s">
        <v>29</v>
      </c>
      <c r="V92" t="s">
        <v>109</v>
      </c>
      <c r="X92" t="s">
        <v>31</v>
      </c>
      <c r="Y92" s="6" t="s">
        <v>32</v>
      </c>
    </row>
    <row r="93" spans="1:25" x14ac:dyDescent="0.25">
      <c r="A93" t="s">
        <v>114</v>
      </c>
      <c r="B93" t="s">
        <v>115</v>
      </c>
      <c r="C93" s="24">
        <v>44782</v>
      </c>
      <c r="D93" s="14">
        <v>130000</v>
      </c>
      <c r="E93" t="s">
        <v>27</v>
      </c>
      <c r="F93" t="s">
        <v>28</v>
      </c>
      <c r="G93" s="14">
        <v>130000</v>
      </c>
      <c r="H93" s="14">
        <v>63600</v>
      </c>
      <c r="I93" s="19">
        <f t="shared" si="4"/>
        <v>48.923076923076927</v>
      </c>
      <c r="J93" s="14">
        <v>127200</v>
      </c>
      <c r="K93" s="14">
        <f>G93-57020</f>
        <v>72980</v>
      </c>
      <c r="L93" s="14">
        <v>70180</v>
      </c>
      <c r="M93" s="29">
        <v>0</v>
      </c>
      <c r="N93" s="33">
        <v>0</v>
      </c>
      <c r="O93" s="38">
        <v>2.68</v>
      </c>
      <c r="P93" s="38">
        <v>2.68</v>
      </c>
      <c r="Q93" s="14" t="e">
        <f t="shared" si="5"/>
        <v>#DIV/0!</v>
      </c>
      <c r="R93" s="14">
        <f t="shared" si="6"/>
        <v>27231.343283582089</v>
      </c>
      <c r="S93" s="43">
        <f t="shared" si="7"/>
        <v>0.62514562175349153</v>
      </c>
      <c r="T93" s="38">
        <v>0</v>
      </c>
      <c r="U93" s="5" t="s">
        <v>29</v>
      </c>
      <c r="V93" t="s">
        <v>116</v>
      </c>
      <c r="X93" t="s">
        <v>31</v>
      </c>
      <c r="Y93" s="6" t="s">
        <v>32</v>
      </c>
    </row>
    <row r="94" spans="1:25" x14ac:dyDescent="0.25">
      <c r="A94" t="s">
        <v>156</v>
      </c>
      <c r="B94" t="s">
        <v>157</v>
      </c>
      <c r="C94" s="24">
        <v>44348</v>
      </c>
      <c r="D94" s="14">
        <v>445000</v>
      </c>
      <c r="E94" t="s">
        <v>27</v>
      </c>
      <c r="F94" t="s">
        <v>28</v>
      </c>
      <c r="G94" s="14">
        <v>445000</v>
      </c>
      <c r="H94" s="14">
        <v>217800</v>
      </c>
      <c r="I94" s="19">
        <f t="shared" si="4"/>
        <v>48.943820224719104</v>
      </c>
      <c r="J94" s="14">
        <v>435610</v>
      </c>
      <c r="K94" s="14">
        <f>G94-369130</f>
        <v>75870</v>
      </c>
      <c r="L94" s="14">
        <v>66480</v>
      </c>
      <c r="M94" s="29">
        <v>0</v>
      </c>
      <c r="N94" s="33">
        <v>0</v>
      </c>
      <c r="O94" s="38">
        <v>2.06</v>
      </c>
      <c r="P94" s="38">
        <v>2.06</v>
      </c>
      <c r="Q94" s="14" t="e">
        <f t="shared" si="5"/>
        <v>#DIV/0!</v>
      </c>
      <c r="R94" s="14">
        <f t="shared" si="6"/>
        <v>36830.097087378643</v>
      </c>
      <c r="S94" s="43">
        <f t="shared" si="7"/>
        <v>0.84550268795635086</v>
      </c>
      <c r="T94" s="38">
        <v>0</v>
      </c>
      <c r="U94" s="5" t="s">
        <v>29</v>
      </c>
      <c r="V94" t="s">
        <v>158</v>
      </c>
      <c r="X94" t="s">
        <v>31</v>
      </c>
      <c r="Y94" s="6" t="s">
        <v>32</v>
      </c>
    </row>
    <row r="95" spans="1:25" x14ac:dyDescent="0.25">
      <c r="A95" t="s">
        <v>263</v>
      </c>
      <c r="B95" t="s">
        <v>264</v>
      </c>
      <c r="C95" s="24">
        <v>44438</v>
      </c>
      <c r="D95" s="14">
        <v>156500</v>
      </c>
      <c r="E95" t="s">
        <v>27</v>
      </c>
      <c r="F95" t="s">
        <v>28</v>
      </c>
      <c r="G95" s="14">
        <v>156500</v>
      </c>
      <c r="H95" s="14">
        <v>77900</v>
      </c>
      <c r="I95" s="19">
        <f t="shared" si="4"/>
        <v>49.776357827476033</v>
      </c>
      <c r="J95" s="14">
        <v>155704</v>
      </c>
      <c r="K95" s="14">
        <f>G95-111704</f>
        <v>44796</v>
      </c>
      <c r="L95" s="14">
        <v>44000</v>
      </c>
      <c r="M95" s="29">
        <v>0</v>
      </c>
      <c r="N95" s="33">
        <v>0</v>
      </c>
      <c r="O95" s="38">
        <v>1</v>
      </c>
      <c r="P95" s="38">
        <v>1</v>
      </c>
      <c r="Q95" s="14" t="e">
        <f t="shared" si="5"/>
        <v>#DIV/0!</v>
      </c>
      <c r="R95" s="14">
        <f t="shared" si="6"/>
        <v>44796</v>
      </c>
      <c r="S95" s="43">
        <f t="shared" si="7"/>
        <v>1.028374655647383</v>
      </c>
      <c r="T95" s="38">
        <v>0</v>
      </c>
      <c r="U95" s="5" t="s">
        <v>29</v>
      </c>
      <c r="V95" t="s">
        <v>265</v>
      </c>
      <c r="X95" t="s">
        <v>31</v>
      </c>
      <c r="Y95" s="6" t="s">
        <v>32</v>
      </c>
    </row>
    <row r="96" spans="1:25" x14ac:dyDescent="0.25">
      <c r="A96" t="s">
        <v>57</v>
      </c>
      <c r="B96" t="s">
        <v>58</v>
      </c>
      <c r="C96" s="24">
        <v>45044</v>
      </c>
      <c r="D96" s="14">
        <v>290000</v>
      </c>
      <c r="E96" t="s">
        <v>27</v>
      </c>
      <c r="F96" t="s">
        <v>28</v>
      </c>
      <c r="G96" s="14">
        <v>290000</v>
      </c>
      <c r="H96" s="14">
        <v>146300</v>
      </c>
      <c r="I96" s="19">
        <f t="shared" si="4"/>
        <v>50.448275862068968</v>
      </c>
      <c r="J96" s="14">
        <v>292606</v>
      </c>
      <c r="K96" s="14">
        <f>G96-200999</f>
        <v>89001</v>
      </c>
      <c r="L96" s="14">
        <v>91607</v>
      </c>
      <c r="M96" s="29">
        <v>0</v>
      </c>
      <c r="N96" s="33">
        <v>0</v>
      </c>
      <c r="O96" s="38">
        <v>8.6300000000000008</v>
      </c>
      <c r="P96" s="38">
        <v>8.6300000000000008</v>
      </c>
      <c r="Q96" s="14" t="e">
        <f t="shared" si="5"/>
        <v>#DIV/0!</v>
      </c>
      <c r="R96" s="14">
        <f t="shared" si="6"/>
        <v>10312.977983777519</v>
      </c>
      <c r="S96" s="43">
        <f t="shared" si="7"/>
        <v>0.23675339724007161</v>
      </c>
      <c r="T96" s="38">
        <v>0</v>
      </c>
      <c r="U96" s="5" t="s">
        <v>29</v>
      </c>
      <c r="V96" t="s">
        <v>59</v>
      </c>
      <c r="X96" t="s">
        <v>31</v>
      </c>
      <c r="Y96" s="6" t="s">
        <v>32</v>
      </c>
    </row>
    <row r="97" spans="1:25" x14ac:dyDescent="0.25">
      <c r="A97" t="s">
        <v>275</v>
      </c>
      <c r="B97" t="s">
        <v>276</v>
      </c>
      <c r="C97" s="24">
        <v>44742</v>
      </c>
      <c r="D97" s="14">
        <v>250000</v>
      </c>
      <c r="E97" t="s">
        <v>27</v>
      </c>
      <c r="F97" t="s">
        <v>28</v>
      </c>
      <c r="G97" s="14">
        <v>250000</v>
      </c>
      <c r="H97" s="14">
        <v>126800</v>
      </c>
      <c r="I97" s="19">
        <f t="shared" si="4"/>
        <v>50.72</v>
      </c>
      <c r="J97" s="14">
        <v>253645</v>
      </c>
      <c r="K97" s="14">
        <f>G97-180450</f>
        <v>69550</v>
      </c>
      <c r="L97" s="14">
        <v>73195</v>
      </c>
      <c r="M97" s="29">
        <v>0</v>
      </c>
      <c r="N97" s="33">
        <v>0</v>
      </c>
      <c r="O97" s="38">
        <v>3.77</v>
      </c>
      <c r="P97" s="38">
        <v>3.77</v>
      </c>
      <c r="Q97" s="14" t="e">
        <f t="shared" si="5"/>
        <v>#DIV/0!</v>
      </c>
      <c r="R97" s="14">
        <f t="shared" si="6"/>
        <v>18448.275862068964</v>
      </c>
      <c r="S97" s="43">
        <f t="shared" si="7"/>
        <v>0.42351413824768053</v>
      </c>
      <c r="T97" s="38">
        <v>0</v>
      </c>
      <c r="U97" s="5" t="s">
        <v>29</v>
      </c>
      <c r="V97" t="s">
        <v>277</v>
      </c>
      <c r="X97" t="s">
        <v>31</v>
      </c>
      <c r="Y97" s="6" t="s">
        <v>32</v>
      </c>
    </row>
    <row r="98" spans="1:25" x14ac:dyDescent="0.25">
      <c r="A98" t="s">
        <v>296</v>
      </c>
      <c r="B98" t="s">
        <v>297</v>
      </c>
      <c r="C98" s="24">
        <v>44362</v>
      </c>
      <c r="D98" s="14">
        <v>528000</v>
      </c>
      <c r="E98" t="s">
        <v>27</v>
      </c>
      <c r="F98" t="s">
        <v>28</v>
      </c>
      <c r="G98" s="14">
        <v>528000</v>
      </c>
      <c r="H98" s="14">
        <v>270200</v>
      </c>
      <c r="I98" s="19">
        <f t="shared" si="4"/>
        <v>51.174242424242422</v>
      </c>
      <c r="J98" s="14">
        <v>540378</v>
      </c>
      <c r="K98" s="14">
        <f>G98-442114</f>
        <v>85886</v>
      </c>
      <c r="L98" s="14">
        <v>98264</v>
      </c>
      <c r="M98" s="29">
        <v>0</v>
      </c>
      <c r="N98" s="33">
        <v>0</v>
      </c>
      <c r="O98" s="38">
        <v>10.06</v>
      </c>
      <c r="P98" s="38">
        <v>10.06</v>
      </c>
      <c r="Q98" s="14" t="e">
        <f t="shared" si="5"/>
        <v>#DIV/0!</v>
      </c>
      <c r="R98" s="14">
        <f t="shared" si="6"/>
        <v>8537.3757455268387</v>
      </c>
      <c r="S98" s="43">
        <f t="shared" si="7"/>
        <v>0.19599117873110281</v>
      </c>
      <c r="T98" s="38">
        <v>0</v>
      </c>
      <c r="U98" s="5" t="s">
        <v>29</v>
      </c>
      <c r="V98" t="s">
        <v>298</v>
      </c>
      <c r="X98" t="s">
        <v>31</v>
      </c>
      <c r="Y98" s="6" t="s">
        <v>32</v>
      </c>
    </row>
    <row r="99" spans="1:25" x14ac:dyDescent="0.25">
      <c r="A99" t="s">
        <v>314</v>
      </c>
      <c r="B99" t="s">
        <v>315</v>
      </c>
      <c r="C99" s="24">
        <v>44358</v>
      </c>
      <c r="D99" s="14">
        <v>412000</v>
      </c>
      <c r="E99" t="s">
        <v>27</v>
      </c>
      <c r="F99" t="s">
        <v>28</v>
      </c>
      <c r="G99" s="14">
        <v>412000</v>
      </c>
      <c r="H99" s="14">
        <v>211600</v>
      </c>
      <c r="I99" s="19">
        <f t="shared" si="4"/>
        <v>51.359223300970868</v>
      </c>
      <c r="J99" s="14">
        <v>423202</v>
      </c>
      <c r="K99" s="14">
        <f>G99-335609</f>
        <v>76391</v>
      </c>
      <c r="L99" s="14">
        <v>87593</v>
      </c>
      <c r="M99" s="29">
        <v>0</v>
      </c>
      <c r="N99" s="33">
        <v>0</v>
      </c>
      <c r="O99" s="38">
        <v>7.77</v>
      </c>
      <c r="P99" s="38">
        <v>7.77</v>
      </c>
      <c r="Q99" s="14" t="e">
        <f t="shared" si="5"/>
        <v>#DIV/0!</v>
      </c>
      <c r="R99" s="14">
        <f t="shared" si="6"/>
        <v>9831.5315315315329</v>
      </c>
      <c r="S99" s="43">
        <f t="shared" si="7"/>
        <v>0.22570090751908936</v>
      </c>
      <c r="T99" s="38">
        <v>0</v>
      </c>
      <c r="U99" s="5" t="s">
        <v>29</v>
      </c>
      <c r="V99" t="s">
        <v>316</v>
      </c>
      <c r="X99" t="s">
        <v>31</v>
      </c>
      <c r="Y99" s="6" t="s">
        <v>32</v>
      </c>
    </row>
    <row r="100" spans="1:25" x14ac:dyDescent="0.25">
      <c r="A100" t="s">
        <v>126</v>
      </c>
      <c r="B100" t="s">
        <v>127</v>
      </c>
      <c r="C100" s="24">
        <v>44362</v>
      </c>
      <c r="D100" s="14">
        <v>183000</v>
      </c>
      <c r="E100" t="s">
        <v>27</v>
      </c>
      <c r="F100" t="s">
        <v>28</v>
      </c>
      <c r="G100" s="14">
        <v>183000</v>
      </c>
      <c r="H100" s="14">
        <v>94600</v>
      </c>
      <c r="I100" s="19">
        <f t="shared" si="4"/>
        <v>51.693989071038246</v>
      </c>
      <c r="J100" s="14">
        <v>189277</v>
      </c>
      <c r="K100" s="14">
        <f>G100-126247</f>
        <v>56753</v>
      </c>
      <c r="L100" s="14">
        <v>63030</v>
      </c>
      <c r="M100" s="29">
        <v>0</v>
      </c>
      <c r="N100" s="33">
        <v>0</v>
      </c>
      <c r="O100" s="38">
        <v>1.82</v>
      </c>
      <c r="P100" s="38">
        <v>1.82</v>
      </c>
      <c r="Q100" s="14" t="e">
        <f t="shared" si="5"/>
        <v>#DIV/0!</v>
      </c>
      <c r="R100" s="14">
        <f t="shared" si="6"/>
        <v>31182.967032967033</v>
      </c>
      <c r="S100" s="43">
        <f t="shared" si="7"/>
        <v>0.71586242040787496</v>
      </c>
      <c r="T100" s="38">
        <v>0</v>
      </c>
      <c r="U100" s="5" t="s">
        <v>29</v>
      </c>
      <c r="V100" t="s">
        <v>128</v>
      </c>
      <c r="X100" t="s">
        <v>31</v>
      </c>
      <c r="Y100" s="6" t="s">
        <v>32</v>
      </c>
    </row>
    <row r="101" spans="1:25" x14ac:dyDescent="0.25">
      <c r="A101" t="s">
        <v>150</v>
      </c>
      <c r="B101" t="s">
        <v>151</v>
      </c>
      <c r="C101" s="24">
        <v>44924</v>
      </c>
      <c r="D101" s="14">
        <v>149900</v>
      </c>
      <c r="E101" t="s">
        <v>27</v>
      </c>
      <c r="F101" t="s">
        <v>28</v>
      </c>
      <c r="G101" s="14">
        <v>149900</v>
      </c>
      <c r="H101" s="14">
        <v>77500</v>
      </c>
      <c r="I101" s="19">
        <f t="shared" si="4"/>
        <v>51.70113408939293</v>
      </c>
      <c r="J101" s="14">
        <v>155093</v>
      </c>
      <c r="K101" s="14">
        <f>G101-105043</f>
        <v>44857</v>
      </c>
      <c r="L101" s="14">
        <v>50050</v>
      </c>
      <c r="M101" s="29">
        <v>0</v>
      </c>
      <c r="N101" s="33">
        <v>0</v>
      </c>
      <c r="O101" s="38">
        <v>1.22</v>
      </c>
      <c r="P101" s="38">
        <v>1.22</v>
      </c>
      <c r="Q101" s="14" t="e">
        <f t="shared" si="5"/>
        <v>#DIV/0!</v>
      </c>
      <c r="R101" s="14">
        <f t="shared" si="6"/>
        <v>36768.032786885247</v>
      </c>
      <c r="S101" s="43">
        <f t="shared" si="7"/>
        <v>0.84407788766954195</v>
      </c>
      <c r="T101" s="38">
        <v>0</v>
      </c>
      <c r="U101" s="5" t="s">
        <v>29</v>
      </c>
      <c r="V101" t="s">
        <v>152</v>
      </c>
      <c r="X101" t="s">
        <v>31</v>
      </c>
      <c r="Y101" s="6" t="s">
        <v>32</v>
      </c>
    </row>
    <row r="102" spans="1:25" x14ac:dyDescent="0.25">
      <c r="A102" t="s">
        <v>248</v>
      </c>
      <c r="B102" t="s">
        <v>249</v>
      </c>
      <c r="C102" s="24">
        <v>44426</v>
      </c>
      <c r="D102" s="14">
        <v>333000</v>
      </c>
      <c r="E102" t="s">
        <v>27</v>
      </c>
      <c r="F102" t="s">
        <v>28</v>
      </c>
      <c r="G102" s="14">
        <v>333000</v>
      </c>
      <c r="H102" s="14">
        <v>173700</v>
      </c>
      <c r="I102" s="19">
        <f t="shared" si="4"/>
        <v>52.162162162162161</v>
      </c>
      <c r="J102" s="14">
        <v>347449</v>
      </c>
      <c r="K102" s="14">
        <f>G102-289699</f>
        <v>43301</v>
      </c>
      <c r="L102" s="14">
        <v>57750</v>
      </c>
      <c r="M102" s="29">
        <v>0</v>
      </c>
      <c r="N102" s="33">
        <v>0</v>
      </c>
      <c r="O102" s="38">
        <v>1.5</v>
      </c>
      <c r="P102" s="38">
        <v>1.5</v>
      </c>
      <c r="Q102" s="14" t="e">
        <f t="shared" si="5"/>
        <v>#DIV/0!</v>
      </c>
      <c r="R102" s="14">
        <f t="shared" si="6"/>
        <v>28867.333333333332</v>
      </c>
      <c r="S102" s="43">
        <f t="shared" si="7"/>
        <v>0.66270278543005812</v>
      </c>
      <c r="T102" s="38">
        <v>0</v>
      </c>
      <c r="U102" s="5" t="s">
        <v>29</v>
      </c>
      <c r="V102" t="s">
        <v>250</v>
      </c>
      <c r="X102" t="s">
        <v>31</v>
      </c>
      <c r="Y102" s="6" t="s">
        <v>32</v>
      </c>
    </row>
    <row r="103" spans="1:25" x14ac:dyDescent="0.25">
      <c r="A103" t="s">
        <v>110</v>
      </c>
      <c r="B103" t="s">
        <v>111</v>
      </c>
      <c r="C103" s="24">
        <v>44589</v>
      </c>
      <c r="D103" s="14">
        <v>120000</v>
      </c>
      <c r="E103" t="s">
        <v>27</v>
      </c>
      <c r="F103" t="s">
        <v>28</v>
      </c>
      <c r="G103" s="14">
        <v>120000</v>
      </c>
      <c r="H103" s="14">
        <v>62700</v>
      </c>
      <c r="I103" s="19">
        <f t="shared" si="4"/>
        <v>52.25</v>
      </c>
      <c r="J103" s="14">
        <v>125352</v>
      </c>
      <c r="K103" s="14">
        <f>G103-0</f>
        <v>120000</v>
      </c>
      <c r="L103" s="14">
        <v>125352</v>
      </c>
      <c r="M103" s="29">
        <v>0</v>
      </c>
      <c r="N103" s="33">
        <v>0</v>
      </c>
      <c r="O103" s="38">
        <v>19.46</v>
      </c>
      <c r="P103" s="38">
        <v>19.46</v>
      </c>
      <c r="Q103" s="14" t="e">
        <f t="shared" si="5"/>
        <v>#DIV/0!</v>
      </c>
      <c r="R103" s="14">
        <f t="shared" si="6"/>
        <v>6166.4953751284684</v>
      </c>
      <c r="S103" s="43">
        <f t="shared" si="7"/>
        <v>0.14156325470910167</v>
      </c>
      <c r="T103" s="38">
        <v>0</v>
      </c>
      <c r="U103" s="5" t="s">
        <v>29</v>
      </c>
      <c r="V103" t="s">
        <v>112</v>
      </c>
      <c r="X103" t="s">
        <v>31</v>
      </c>
      <c r="Y103" s="6" t="s">
        <v>113</v>
      </c>
    </row>
    <row r="104" spans="1:25" x14ac:dyDescent="0.25">
      <c r="A104" t="s">
        <v>245</v>
      </c>
      <c r="B104" t="s">
        <v>246</v>
      </c>
      <c r="C104" s="24">
        <v>44369</v>
      </c>
      <c r="D104" s="14">
        <v>265000</v>
      </c>
      <c r="E104" t="s">
        <v>27</v>
      </c>
      <c r="F104" t="s">
        <v>28</v>
      </c>
      <c r="G104" s="14">
        <v>265000</v>
      </c>
      <c r="H104" s="14">
        <v>141100</v>
      </c>
      <c r="I104" s="19">
        <f t="shared" si="4"/>
        <v>53.24528301886793</v>
      </c>
      <c r="J104" s="14">
        <v>282219</v>
      </c>
      <c r="K104" s="14">
        <f>G104-189119</f>
        <v>75881</v>
      </c>
      <c r="L104" s="14">
        <v>93100</v>
      </c>
      <c r="M104" s="29">
        <v>0</v>
      </c>
      <c r="N104" s="33">
        <v>0</v>
      </c>
      <c r="O104" s="38">
        <v>8.9499999999999993</v>
      </c>
      <c r="P104" s="38">
        <v>8.9499999999999993</v>
      </c>
      <c r="Q104" s="14" t="e">
        <f t="shared" si="5"/>
        <v>#DIV/0!</v>
      </c>
      <c r="R104" s="14">
        <f t="shared" si="6"/>
        <v>8478.324022346369</v>
      </c>
      <c r="S104" s="43">
        <f t="shared" si="7"/>
        <v>0.1946355377030847</v>
      </c>
      <c r="T104" s="38">
        <v>0</v>
      </c>
      <c r="U104" s="5" t="s">
        <v>29</v>
      </c>
      <c r="V104" t="s">
        <v>247</v>
      </c>
      <c r="X104" t="s">
        <v>31</v>
      </c>
      <c r="Y104" s="6" t="s">
        <v>32</v>
      </c>
    </row>
    <row r="105" spans="1:25" x14ac:dyDescent="0.25">
      <c r="A105" t="s">
        <v>189</v>
      </c>
      <c r="B105" t="s">
        <v>190</v>
      </c>
      <c r="C105" s="24">
        <v>44301</v>
      </c>
      <c r="D105" s="14">
        <v>228900</v>
      </c>
      <c r="E105" t="s">
        <v>27</v>
      </c>
      <c r="F105" t="s">
        <v>28</v>
      </c>
      <c r="G105" s="14">
        <v>228900</v>
      </c>
      <c r="H105" s="14">
        <v>122100</v>
      </c>
      <c r="I105" s="19">
        <f t="shared" si="4"/>
        <v>53.342070773263437</v>
      </c>
      <c r="J105" s="14">
        <v>244281</v>
      </c>
      <c r="K105" s="14">
        <f>G105-200281</f>
        <v>28619</v>
      </c>
      <c r="L105" s="14">
        <v>44000</v>
      </c>
      <c r="M105" s="29">
        <v>0</v>
      </c>
      <c r="N105" s="33">
        <v>0</v>
      </c>
      <c r="O105" s="38">
        <v>1</v>
      </c>
      <c r="P105" s="38">
        <v>1</v>
      </c>
      <c r="Q105" s="14" t="e">
        <f t="shared" si="5"/>
        <v>#DIV/0!</v>
      </c>
      <c r="R105" s="14">
        <f t="shared" si="6"/>
        <v>28619</v>
      </c>
      <c r="S105" s="43">
        <f t="shared" si="7"/>
        <v>0.65700183654729105</v>
      </c>
      <c r="T105" s="38">
        <v>0</v>
      </c>
      <c r="U105" s="5" t="s">
        <v>29</v>
      </c>
      <c r="V105" t="s">
        <v>191</v>
      </c>
      <c r="X105" t="s">
        <v>31</v>
      </c>
      <c r="Y105" s="6" t="s">
        <v>32</v>
      </c>
    </row>
    <row r="106" spans="1:25" x14ac:dyDescent="0.25">
      <c r="A106" t="s">
        <v>79</v>
      </c>
      <c r="B106" t="s">
        <v>80</v>
      </c>
      <c r="C106" s="24">
        <v>44560</v>
      </c>
      <c r="D106" s="14">
        <v>185000</v>
      </c>
      <c r="E106" t="s">
        <v>27</v>
      </c>
      <c r="F106" t="s">
        <v>28</v>
      </c>
      <c r="G106" s="14">
        <v>185000</v>
      </c>
      <c r="H106" s="14">
        <v>99000</v>
      </c>
      <c r="I106" s="19">
        <f t="shared" si="4"/>
        <v>53.513513513513509</v>
      </c>
      <c r="J106" s="14">
        <v>198030</v>
      </c>
      <c r="K106" s="14">
        <f>G106-136815</f>
        <v>48185</v>
      </c>
      <c r="L106" s="14">
        <v>61215</v>
      </c>
      <c r="M106" s="29">
        <v>0</v>
      </c>
      <c r="N106" s="33">
        <v>0</v>
      </c>
      <c r="O106" s="38">
        <v>1.71</v>
      </c>
      <c r="P106" s="38">
        <v>1.71</v>
      </c>
      <c r="Q106" s="14" t="e">
        <f t="shared" si="5"/>
        <v>#DIV/0!</v>
      </c>
      <c r="R106" s="14">
        <f t="shared" si="6"/>
        <v>28178.362573099417</v>
      </c>
      <c r="S106" s="43">
        <f t="shared" si="7"/>
        <v>0.64688619313818685</v>
      </c>
      <c r="T106" s="38">
        <v>0</v>
      </c>
      <c r="U106" s="5" t="s">
        <v>29</v>
      </c>
      <c r="V106" t="s">
        <v>81</v>
      </c>
      <c r="X106" t="s">
        <v>31</v>
      </c>
      <c r="Y106" s="6" t="s">
        <v>32</v>
      </c>
    </row>
    <row r="107" spans="1:25" x14ac:dyDescent="0.25">
      <c r="A107" t="s">
        <v>562</v>
      </c>
      <c r="B107" t="s">
        <v>563</v>
      </c>
      <c r="C107" s="24">
        <v>44455</v>
      </c>
      <c r="D107" s="14">
        <v>172500</v>
      </c>
      <c r="E107" t="s">
        <v>27</v>
      </c>
      <c r="F107" t="s">
        <v>28</v>
      </c>
      <c r="G107" s="14">
        <v>172500</v>
      </c>
      <c r="H107" s="14">
        <v>92800</v>
      </c>
      <c r="I107" s="19">
        <f t="shared" si="4"/>
        <v>53.797101449275367</v>
      </c>
      <c r="J107" s="14">
        <v>185595</v>
      </c>
      <c r="K107" s="14">
        <f>G107-139120</f>
        <v>33380</v>
      </c>
      <c r="L107" s="14">
        <v>46475</v>
      </c>
      <c r="M107" s="29">
        <v>0</v>
      </c>
      <c r="N107" s="33">
        <v>0</v>
      </c>
      <c r="O107" s="38">
        <v>1.0900000000000001</v>
      </c>
      <c r="P107" s="38">
        <v>1.0900000000000001</v>
      </c>
      <c r="Q107" s="14" t="e">
        <f t="shared" si="5"/>
        <v>#DIV/0!</v>
      </c>
      <c r="R107" s="14">
        <f t="shared" si="6"/>
        <v>30623.853211009173</v>
      </c>
      <c r="S107" s="43">
        <f t="shared" si="7"/>
        <v>0.70302693321875975</v>
      </c>
      <c r="T107" s="38">
        <v>0</v>
      </c>
      <c r="U107" s="5" t="s">
        <v>29</v>
      </c>
      <c r="V107" t="s">
        <v>564</v>
      </c>
      <c r="X107" t="s">
        <v>31</v>
      </c>
      <c r="Y107" s="6" t="s">
        <v>32</v>
      </c>
    </row>
    <row r="108" spans="1:25" x14ac:dyDescent="0.25">
      <c r="A108" t="s">
        <v>69</v>
      </c>
      <c r="B108" t="s">
        <v>70</v>
      </c>
      <c r="C108" s="24">
        <v>44530</v>
      </c>
      <c r="D108" s="14">
        <v>355000</v>
      </c>
      <c r="E108" t="s">
        <v>27</v>
      </c>
      <c r="F108" t="s">
        <v>28</v>
      </c>
      <c r="G108" s="14">
        <v>355000</v>
      </c>
      <c r="H108" s="14">
        <v>194000</v>
      </c>
      <c r="I108" s="19">
        <f t="shared" si="4"/>
        <v>54.647887323943664</v>
      </c>
      <c r="J108" s="14">
        <v>388028</v>
      </c>
      <c r="K108" s="14">
        <f>G108-334953</f>
        <v>20047</v>
      </c>
      <c r="L108" s="14">
        <v>53075</v>
      </c>
      <c r="M108" s="29">
        <v>0</v>
      </c>
      <c r="N108" s="33">
        <v>0</v>
      </c>
      <c r="O108" s="38">
        <v>1.33</v>
      </c>
      <c r="P108" s="38">
        <v>1.33</v>
      </c>
      <c r="Q108" s="14" t="e">
        <f t="shared" si="5"/>
        <v>#DIV/0!</v>
      </c>
      <c r="R108" s="14">
        <f t="shared" si="6"/>
        <v>15072.932330827067</v>
      </c>
      <c r="S108" s="43">
        <f t="shared" si="7"/>
        <v>0.34602691301255895</v>
      </c>
      <c r="T108" s="38">
        <v>0</v>
      </c>
      <c r="U108" s="5" t="s">
        <v>29</v>
      </c>
      <c r="V108" t="s">
        <v>71</v>
      </c>
      <c r="X108" t="s">
        <v>31</v>
      </c>
      <c r="Y108" s="6" t="s">
        <v>32</v>
      </c>
    </row>
    <row r="109" spans="1:25" x14ac:dyDescent="0.25">
      <c r="A109" t="s">
        <v>159</v>
      </c>
      <c r="B109" t="s">
        <v>160</v>
      </c>
      <c r="C109" s="24">
        <v>44914</v>
      </c>
      <c r="D109" s="14">
        <v>300750</v>
      </c>
      <c r="E109" t="s">
        <v>27</v>
      </c>
      <c r="F109" t="s">
        <v>42</v>
      </c>
      <c r="G109" s="14">
        <v>300750</v>
      </c>
      <c r="H109" s="14">
        <v>164700</v>
      </c>
      <c r="I109" s="19">
        <f t="shared" si="4"/>
        <v>54.763092269326684</v>
      </c>
      <c r="J109" s="14">
        <v>329362</v>
      </c>
      <c r="K109" s="14">
        <f>G109-136762</f>
        <v>163988</v>
      </c>
      <c r="L109" s="14">
        <v>192600</v>
      </c>
      <c r="M109" s="29">
        <v>0</v>
      </c>
      <c r="N109" s="33">
        <v>0</v>
      </c>
      <c r="O109" s="38">
        <v>13.5</v>
      </c>
      <c r="P109" s="38">
        <v>1</v>
      </c>
      <c r="Q109" s="14" t="e">
        <f t="shared" si="5"/>
        <v>#DIV/0!</v>
      </c>
      <c r="R109" s="14">
        <f t="shared" si="6"/>
        <v>12147.259259259259</v>
      </c>
      <c r="S109" s="43">
        <f t="shared" si="7"/>
        <v>0.27886270108492328</v>
      </c>
      <c r="T109" s="38">
        <v>0</v>
      </c>
      <c r="U109" s="5" t="s">
        <v>29</v>
      </c>
      <c r="V109" t="s">
        <v>161</v>
      </c>
      <c r="W109" t="s">
        <v>162</v>
      </c>
      <c r="X109" t="s">
        <v>31</v>
      </c>
      <c r="Y109" s="6" t="s">
        <v>32</v>
      </c>
    </row>
    <row r="110" spans="1:25" x14ac:dyDescent="0.25">
      <c r="A110" t="s">
        <v>216</v>
      </c>
      <c r="B110" t="s">
        <v>217</v>
      </c>
      <c r="C110" s="24">
        <v>44512</v>
      </c>
      <c r="D110" s="14">
        <v>200000</v>
      </c>
      <c r="E110" t="s">
        <v>27</v>
      </c>
      <c r="F110" t="s">
        <v>28</v>
      </c>
      <c r="G110" s="14">
        <v>200000</v>
      </c>
      <c r="H110" s="14">
        <v>109900</v>
      </c>
      <c r="I110" s="19">
        <f t="shared" si="4"/>
        <v>54.949999999999996</v>
      </c>
      <c r="J110" s="14">
        <v>219731</v>
      </c>
      <c r="K110" s="14">
        <f>G110-153731</f>
        <v>46269</v>
      </c>
      <c r="L110" s="14">
        <v>66000</v>
      </c>
      <c r="M110" s="29">
        <v>0</v>
      </c>
      <c r="N110" s="33">
        <v>0</v>
      </c>
      <c r="O110" s="38">
        <v>2</v>
      </c>
      <c r="P110" s="38">
        <v>2</v>
      </c>
      <c r="Q110" s="14" t="e">
        <f t="shared" si="5"/>
        <v>#DIV/0!</v>
      </c>
      <c r="R110" s="14">
        <f t="shared" si="6"/>
        <v>23134.5</v>
      </c>
      <c r="S110" s="43">
        <f t="shared" si="7"/>
        <v>0.531095041322314</v>
      </c>
      <c r="T110" s="38">
        <v>0</v>
      </c>
      <c r="U110" s="5" t="s">
        <v>29</v>
      </c>
      <c r="V110" t="s">
        <v>218</v>
      </c>
      <c r="X110" t="s">
        <v>31</v>
      </c>
      <c r="Y110" s="6" t="s">
        <v>32</v>
      </c>
    </row>
    <row r="111" spans="1:25" x14ac:dyDescent="0.25">
      <c r="A111" t="s">
        <v>332</v>
      </c>
      <c r="B111" t="s">
        <v>333</v>
      </c>
      <c r="C111" s="24">
        <v>44468</v>
      </c>
      <c r="D111" s="14">
        <v>200000</v>
      </c>
      <c r="E111" t="s">
        <v>27</v>
      </c>
      <c r="F111" t="s">
        <v>28</v>
      </c>
      <c r="G111" s="14">
        <v>200000</v>
      </c>
      <c r="H111" s="14">
        <v>111000</v>
      </c>
      <c r="I111" s="19">
        <f t="shared" si="4"/>
        <v>55.500000000000007</v>
      </c>
      <c r="J111" s="14">
        <v>222012</v>
      </c>
      <c r="K111" s="14">
        <f>G111-133905</f>
        <v>66095</v>
      </c>
      <c r="L111" s="14">
        <v>88107</v>
      </c>
      <c r="M111" s="29">
        <v>0</v>
      </c>
      <c r="N111" s="33">
        <v>0</v>
      </c>
      <c r="O111" s="38">
        <v>7.88</v>
      </c>
      <c r="P111" s="38">
        <v>7.88</v>
      </c>
      <c r="Q111" s="14" t="e">
        <f t="shared" si="5"/>
        <v>#DIV/0!</v>
      </c>
      <c r="R111" s="14">
        <f t="shared" si="6"/>
        <v>8387.6903553299489</v>
      </c>
      <c r="S111" s="43">
        <f t="shared" si="7"/>
        <v>0.19255487500757459</v>
      </c>
      <c r="T111" s="38">
        <v>0</v>
      </c>
      <c r="U111" s="5" t="s">
        <v>29</v>
      </c>
      <c r="V111" t="s">
        <v>334</v>
      </c>
      <c r="X111" t="s">
        <v>31</v>
      </c>
      <c r="Y111" s="6" t="s">
        <v>32</v>
      </c>
    </row>
    <row r="112" spans="1:25" x14ac:dyDescent="0.25">
      <c r="A112" t="s">
        <v>210</v>
      </c>
      <c r="B112" t="s">
        <v>211</v>
      </c>
      <c r="C112" s="24">
        <v>44505</v>
      </c>
      <c r="D112" s="14">
        <v>460000</v>
      </c>
      <c r="E112" t="s">
        <v>27</v>
      </c>
      <c r="F112" t="s">
        <v>28</v>
      </c>
      <c r="G112" s="14">
        <v>460000</v>
      </c>
      <c r="H112" s="14">
        <v>256100</v>
      </c>
      <c r="I112" s="19">
        <f t="shared" si="4"/>
        <v>55.673913043478265</v>
      </c>
      <c r="J112" s="14">
        <v>512299</v>
      </c>
      <c r="K112" s="14">
        <f>G112-431359</f>
        <v>28641</v>
      </c>
      <c r="L112" s="14">
        <v>80940</v>
      </c>
      <c r="M112" s="29">
        <v>0</v>
      </c>
      <c r="N112" s="33">
        <v>0</v>
      </c>
      <c r="O112" s="38">
        <v>6.32</v>
      </c>
      <c r="P112" s="38">
        <v>6.32</v>
      </c>
      <c r="Q112" s="14" t="e">
        <f t="shared" si="5"/>
        <v>#DIV/0!</v>
      </c>
      <c r="R112" s="14">
        <f t="shared" si="6"/>
        <v>4531.8037974683539</v>
      </c>
      <c r="S112" s="43">
        <f t="shared" si="7"/>
        <v>0.10403589985005404</v>
      </c>
      <c r="T112" s="38">
        <v>0</v>
      </c>
      <c r="U112" s="5" t="s">
        <v>29</v>
      </c>
      <c r="V112" t="s">
        <v>212</v>
      </c>
      <c r="X112" t="s">
        <v>31</v>
      </c>
      <c r="Y112" s="6" t="s">
        <v>32</v>
      </c>
    </row>
    <row r="113" spans="1:25" x14ac:dyDescent="0.25">
      <c r="A113" t="s">
        <v>54</v>
      </c>
      <c r="B113" t="s">
        <v>55</v>
      </c>
      <c r="C113" s="24">
        <v>44862</v>
      </c>
      <c r="D113" s="14">
        <v>151000</v>
      </c>
      <c r="E113" t="s">
        <v>27</v>
      </c>
      <c r="F113" t="s">
        <v>28</v>
      </c>
      <c r="G113" s="14">
        <v>151000</v>
      </c>
      <c r="H113" s="14">
        <v>84600</v>
      </c>
      <c r="I113" s="19">
        <f t="shared" si="4"/>
        <v>56.026490066225165</v>
      </c>
      <c r="J113" s="14">
        <v>169169</v>
      </c>
      <c r="K113" s="14">
        <f>G113-103169</f>
        <v>47831</v>
      </c>
      <c r="L113" s="14">
        <v>66000</v>
      </c>
      <c r="M113" s="29">
        <v>0</v>
      </c>
      <c r="N113" s="33">
        <v>0</v>
      </c>
      <c r="O113" s="38">
        <v>2</v>
      </c>
      <c r="P113" s="38">
        <v>2</v>
      </c>
      <c r="Q113" s="14" t="e">
        <f t="shared" si="5"/>
        <v>#DIV/0!</v>
      </c>
      <c r="R113" s="14">
        <f t="shared" si="6"/>
        <v>23915.5</v>
      </c>
      <c r="S113" s="43">
        <f t="shared" si="7"/>
        <v>0.54902433425160702</v>
      </c>
      <c r="T113" s="38">
        <v>0</v>
      </c>
      <c r="U113" s="5" t="s">
        <v>29</v>
      </c>
      <c r="V113" t="s">
        <v>56</v>
      </c>
      <c r="X113" t="s">
        <v>31</v>
      </c>
      <c r="Y113" s="6" t="s">
        <v>32</v>
      </c>
    </row>
    <row r="114" spans="1:25" x14ac:dyDescent="0.25">
      <c r="A114" t="s">
        <v>278</v>
      </c>
      <c r="B114" t="s">
        <v>279</v>
      </c>
      <c r="C114" s="24">
        <v>44518</v>
      </c>
      <c r="D114" s="14">
        <v>495000</v>
      </c>
      <c r="E114" t="s">
        <v>27</v>
      </c>
      <c r="F114" t="s">
        <v>28</v>
      </c>
      <c r="G114" s="14">
        <v>495000</v>
      </c>
      <c r="H114" s="14">
        <v>279200</v>
      </c>
      <c r="I114" s="19">
        <f t="shared" si="4"/>
        <v>56.404040404040401</v>
      </c>
      <c r="J114" s="14">
        <v>558441</v>
      </c>
      <c r="K114" s="14">
        <f>G114-451685</f>
        <v>43315</v>
      </c>
      <c r="L114" s="14">
        <v>106756</v>
      </c>
      <c r="M114" s="29">
        <v>0</v>
      </c>
      <c r="N114" s="33">
        <v>0</v>
      </c>
      <c r="O114" s="38">
        <v>11.99</v>
      </c>
      <c r="P114" s="38">
        <v>11.99</v>
      </c>
      <c r="Q114" s="14" t="e">
        <f t="shared" si="5"/>
        <v>#DIV/0!</v>
      </c>
      <c r="R114" s="14">
        <f t="shared" si="6"/>
        <v>3612.5938281901585</v>
      </c>
      <c r="S114" s="43">
        <f t="shared" si="7"/>
        <v>8.2933742612262593E-2</v>
      </c>
      <c r="T114" s="38">
        <v>0</v>
      </c>
      <c r="U114" s="5" t="s">
        <v>29</v>
      </c>
      <c r="V114" t="s">
        <v>280</v>
      </c>
      <c r="X114" t="s">
        <v>31</v>
      </c>
      <c r="Y114" s="6" t="s">
        <v>32</v>
      </c>
    </row>
    <row r="115" spans="1:25" x14ac:dyDescent="0.25">
      <c r="A115" t="s">
        <v>101</v>
      </c>
      <c r="B115" t="s">
        <v>102</v>
      </c>
      <c r="C115" s="24">
        <v>44575</v>
      </c>
      <c r="D115" s="14">
        <v>165000</v>
      </c>
      <c r="E115" t="s">
        <v>27</v>
      </c>
      <c r="F115" t="s">
        <v>28</v>
      </c>
      <c r="G115" s="14">
        <v>165000</v>
      </c>
      <c r="H115" s="14">
        <v>93100</v>
      </c>
      <c r="I115" s="19">
        <f t="shared" si="4"/>
        <v>56.424242424242422</v>
      </c>
      <c r="J115" s="14">
        <v>186263</v>
      </c>
      <c r="K115" s="14">
        <f>G115-154143</f>
        <v>10857</v>
      </c>
      <c r="L115" s="14">
        <v>32120</v>
      </c>
      <c r="M115" s="29">
        <v>0</v>
      </c>
      <c r="N115" s="33">
        <v>0</v>
      </c>
      <c r="O115" s="38">
        <v>0.73</v>
      </c>
      <c r="P115" s="38">
        <v>0.73</v>
      </c>
      <c r="Q115" s="14" t="e">
        <f t="shared" si="5"/>
        <v>#DIV/0!</v>
      </c>
      <c r="R115" s="14">
        <f t="shared" si="6"/>
        <v>14872.602739726028</v>
      </c>
      <c r="S115" s="43">
        <f t="shared" si="7"/>
        <v>0.3414279784142798</v>
      </c>
      <c r="T115" s="38">
        <v>0</v>
      </c>
      <c r="U115" s="5" t="s">
        <v>29</v>
      </c>
      <c r="V115" t="s">
        <v>103</v>
      </c>
      <c r="X115" t="s">
        <v>31</v>
      </c>
      <c r="Y115" s="6" t="s">
        <v>32</v>
      </c>
    </row>
    <row r="116" spans="1:25" x14ac:dyDescent="0.25">
      <c r="A116" t="s">
        <v>89</v>
      </c>
      <c r="B116" t="s">
        <v>90</v>
      </c>
      <c r="C116" s="24">
        <v>44622</v>
      </c>
      <c r="D116" s="14">
        <v>750000</v>
      </c>
      <c r="E116" t="s">
        <v>27</v>
      </c>
      <c r="F116" t="s">
        <v>28</v>
      </c>
      <c r="G116" s="14">
        <v>750000</v>
      </c>
      <c r="H116" s="14">
        <v>424200</v>
      </c>
      <c r="I116" s="19">
        <f t="shared" si="4"/>
        <v>56.56</v>
      </c>
      <c r="J116" s="14">
        <v>848464</v>
      </c>
      <c r="K116" s="14">
        <f>G116-722401</f>
        <v>27599</v>
      </c>
      <c r="L116" s="14">
        <v>126063</v>
      </c>
      <c r="M116" s="29">
        <v>0</v>
      </c>
      <c r="N116" s="33">
        <v>0</v>
      </c>
      <c r="O116" s="38">
        <v>20.21</v>
      </c>
      <c r="P116" s="38">
        <v>20.21</v>
      </c>
      <c r="Q116" s="14" t="e">
        <f t="shared" si="5"/>
        <v>#DIV/0!</v>
      </c>
      <c r="R116" s="14">
        <f t="shared" si="6"/>
        <v>1365.6110836219693</v>
      </c>
      <c r="S116" s="43">
        <f t="shared" si="7"/>
        <v>3.1350116703901962E-2</v>
      </c>
      <c r="T116" s="38">
        <v>0</v>
      </c>
      <c r="U116" s="5" t="s">
        <v>29</v>
      </c>
      <c r="V116" t="s">
        <v>91</v>
      </c>
      <c r="X116" t="s">
        <v>31</v>
      </c>
      <c r="Y116" s="6" t="s">
        <v>32</v>
      </c>
    </row>
    <row r="117" spans="1:25" x14ac:dyDescent="0.25">
      <c r="A117" t="s">
        <v>177</v>
      </c>
      <c r="B117" t="s">
        <v>178</v>
      </c>
      <c r="C117" s="24">
        <v>45163</v>
      </c>
      <c r="D117" s="14">
        <v>64000</v>
      </c>
      <c r="E117" t="s">
        <v>27</v>
      </c>
      <c r="F117" t="s">
        <v>28</v>
      </c>
      <c r="G117" s="14">
        <v>64000</v>
      </c>
      <c r="H117" s="14">
        <v>36200</v>
      </c>
      <c r="I117" s="19">
        <f t="shared" si="4"/>
        <v>56.562500000000007</v>
      </c>
      <c r="J117" s="14">
        <v>72397</v>
      </c>
      <c r="K117" s="14">
        <f>G117-0</f>
        <v>64000</v>
      </c>
      <c r="L117" s="14">
        <v>72397</v>
      </c>
      <c r="M117" s="29">
        <v>0</v>
      </c>
      <c r="N117" s="33">
        <v>0</v>
      </c>
      <c r="O117" s="38">
        <v>3.5419999999999998</v>
      </c>
      <c r="P117" s="38">
        <v>3.5419999999999998</v>
      </c>
      <c r="Q117" s="14" t="e">
        <f t="shared" si="5"/>
        <v>#DIV/0!</v>
      </c>
      <c r="R117" s="14">
        <f t="shared" si="6"/>
        <v>18068.887634105027</v>
      </c>
      <c r="S117" s="43">
        <f t="shared" si="7"/>
        <v>0.41480458296843498</v>
      </c>
      <c r="T117" s="38">
        <v>0</v>
      </c>
      <c r="U117" s="5" t="s">
        <v>29</v>
      </c>
      <c r="V117" t="s">
        <v>179</v>
      </c>
      <c r="X117" t="s">
        <v>31</v>
      </c>
      <c r="Y117" s="6" t="s">
        <v>113</v>
      </c>
    </row>
    <row r="118" spans="1:25" x14ac:dyDescent="0.25">
      <c r="A118" t="s">
        <v>48</v>
      </c>
      <c r="B118" t="s">
        <v>49</v>
      </c>
      <c r="C118" s="24">
        <v>44911</v>
      </c>
      <c r="D118" s="14">
        <v>345000</v>
      </c>
      <c r="E118" t="s">
        <v>27</v>
      </c>
      <c r="F118" t="s">
        <v>28</v>
      </c>
      <c r="G118" s="14">
        <v>345000</v>
      </c>
      <c r="H118" s="14">
        <v>200100</v>
      </c>
      <c r="I118" s="19">
        <f t="shared" si="4"/>
        <v>57.999999999999993</v>
      </c>
      <c r="J118" s="14">
        <v>400256</v>
      </c>
      <c r="K118" s="14">
        <f>G118-337061</f>
        <v>7939</v>
      </c>
      <c r="L118" s="14">
        <v>63195</v>
      </c>
      <c r="M118" s="29">
        <v>0</v>
      </c>
      <c r="N118" s="33">
        <v>0</v>
      </c>
      <c r="O118" s="38">
        <v>1.83</v>
      </c>
      <c r="P118" s="38">
        <v>1.83</v>
      </c>
      <c r="Q118" s="14" t="e">
        <f t="shared" si="5"/>
        <v>#DIV/0!</v>
      </c>
      <c r="R118" s="14">
        <f t="shared" si="6"/>
        <v>4338.2513661202183</v>
      </c>
      <c r="S118" s="43">
        <f t="shared" si="7"/>
        <v>9.9592547431593625E-2</v>
      </c>
      <c r="T118" s="38">
        <v>0</v>
      </c>
      <c r="U118" s="5" t="s">
        <v>29</v>
      </c>
      <c r="V118" t="s">
        <v>50</v>
      </c>
      <c r="X118" t="s">
        <v>31</v>
      </c>
      <c r="Y118" s="6" t="s">
        <v>32</v>
      </c>
    </row>
    <row r="119" spans="1:25" x14ac:dyDescent="0.25">
      <c r="A119" t="s">
        <v>104</v>
      </c>
      <c r="B119" t="s">
        <v>105</v>
      </c>
      <c r="C119" s="24">
        <v>44287</v>
      </c>
      <c r="D119" s="14">
        <v>304900</v>
      </c>
      <c r="E119" t="s">
        <v>27</v>
      </c>
      <c r="F119" t="s">
        <v>28</v>
      </c>
      <c r="G119" s="14">
        <v>304900</v>
      </c>
      <c r="H119" s="14">
        <v>181800</v>
      </c>
      <c r="I119" s="19">
        <f t="shared" si="4"/>
        <v>59.626106920301737</v>
      </c>
      <c r="J119" s="14">
        <v>363640</v>
      </c>
      <c r="K119" s="14">
        <f>G119-297805</f>
        <v>7095</v>
      </c>
      <c r="L119" s="14">
        <v>65835</v>
      </c>
      <c r="M119" s="29">
        <v>0</v>
      </c>
      <c r="N119" s="33">
        <v>0</v>
      </c>
      <c r="O119" s="38">
        <v>1.99</v>
      </c>
      <c r="P119" s="38">
        <v>1.99</v>
      </c>
      <c r="Q119" s="14" t="e">
        <f t="shared" si="5"/>
        <v>#DIV/0!</v>
      </c>
      <c r="R119" s="14">
        <f t="shared" si="6"/>
        <v>3565.3266331658292</v>
      </c>
      <c r="S119" s="43">
        <f t="shared" si="7"/>
        <v>8.1848637125019039E-2</v>
      </c>
      <c r="T119" s="38">
        <v>0</v>
      </c>
      <c r="U119" s="5" t="s">
        <v>29</v>
      </c>
      <c r="V119" t="s">
        <v>106</v>
      </c>
      <c r="X119" t="s">
        <v>31</v>
      </c>
      <c r="Y119" s="6" t="s">
        <v>32</v>
      </c>
    </row>
    <row r="120" spans="1:25" x14ac:dyDescent="0.25">
      <c r="A120" t="s">
        <v>320</v>
      </c>
      <c r="B120" t="s">
        <v>321</v>
      </c>
      <c r="C120" s="24">
        <v>44299</v>
      </c>
      <c r="D120" s="14">
        <v>180000</v>
      </c>
      <c r="E120" t="s">
        <v>27</v>
      </c>
      <c r="F120" t="s">
        <v>28</v>
      </c>
      <c r="G120" s="14">
        <v>180000</v>
      </c>
      <c r="H120" s="14">
        <v>119700</v>
      </c>
      <c r="I120" s="19">
        <f t="shared" si="4"/>
        <v>66.5</v>
      </c>
      <c r="J120" s="14">
        <v>239379</v>
      </c>
      <c r="K120" s="14">
        <f>G120-169379</f>
        <v>10621</v>
      </c>
      <c r="L120" s="14">
        <v>70000</v>
      </c>
      <c r="M120" s="29">
        <v>0</v>
      </c>
      <c r="N120" s="33">
        <v>0</v>
      </c>
      <c r="O120" s="38">
        <v>2.5</v>
      </c>
      <c r="P120" s="38">
        <v>2.5</v>
      </c>
      <c r="Q120" s="14" t="e">
        <f t="shared" si="5"/>
        <v>#DIV/0!</v>
      </c>
      <c r="R120" s="14">
        <f t="shared" si="6"/>
        <v>4248.3999999999996</v>
      </c>
      <c r="S120" s="43">
        <f t="shared" si="7"/>
        <v>9.7529843893480253E-2</v>
      </c>
      <c r="T120" s="38">
        <v>0</v>
      </c>
      <c r="U120" s="5" t="s">
        <v>29</v>
      </c>
      <c r="V120" t="s">
        <v>322</v>
      </c>
      <c r="X120" t="s">
        <v>31</v>
      </c>
      <c r="Y120" s="6" t="s">
        <v>32</v>
      </c>
    </row>
    <row r="121" spans="1:25" x14ac:dyDescent="0.25">
      <c r="A121" t="s">
        <v>147</v>
      </c>
      <c r="B121" t="s">
        <v>148</v>
      </c>
      <c r="C121" s="24">
        <v>44519</v>
      </c>
      <c r="D121" s="14">
        <v>40000</v>
      </c>
      <c r="E121" t="s">
        <v>27</v>
      </c>
      <c r="F121" t="s">
        <v>28</v>
      </c>
      <c r="G121" s="14">
        <v>40000</v>
      </c>
      <c r="H121" s="14">
        <v>27100</v>
      </c>
      <c r="I121" s="19">
        <f t="shared" si="4"/>
        <v>67.75</v>
      </c>
      <c r="J121" s="14">
        <v>54175</v>
      </c>
      <c r="K121" s="14">
        <f>G121-0</f>
        <v>40000</v>
      </c>
      <c r="L121" s="14">
        <v>54175</v>
      </c>
      <c r="M121" s="29">
        <v>0</v>
      </c>
      <c r="N121" s="33">
        <v>0</v>
      </c>
      <c r="O121" s="38">
        <v>1.37</v>
      </c>
      <c r="P121" s="38">
        <v>1.37</v>
      </c>
      <c r="Q121" s="14" t="e">
        <f t="shared" si="5"/>
        <v>#DIV/0!</v>
      </c>
      <c r="R121" s="14">
        <f t="shared" si="6"/>
        <v>29197.0802919708</v>
      </c>
      <c r="S121" s="43">
        <f t="shared" si="7"/>
        <v>0.6702727339754545</v>
      </c>
      <c r="T121" s="38">
        <v>0</v>
      </c>
      <c r="U121" s="5" t="s">
        <v>29</v>
      </c>
      <c r="V121" t="s">
        <v>149</v>
      </c>
      <c r="X121" t="s">
        <v>31</v>
      </c>
      <c r="Y121" s="6" t="s">
        <v>113</v>
      </c>
    </row>
    <row r="122" spans="1:25" x14ac:dyDescent="0.25">
      <c r="A122" t="s">
        <v>153</v>
      </c>
      <c r="B122" t="s">
        <v>154</v>
      </c>
      <c r="C122" s="24">
        <v>44859</v>
      </c>
      <c r="D122" s="14">
        <v>45000</v>
      </c>
      <c r="E122" t="s">
        <v>27</v>
      </c>
      <c r="F122" t="s">
        <v>28</v>
      </c>
      <c r="G122" s="14">
        <v>45000</v>
      </c>
      <c r="H122" s="14">
        <v>32100</v>
      </c>
      <c r="I122" s="19">
        <f t="shared" si="4"/>
        <v>71.333333333333343</v>
      </c>
      <c r="J122" s="14">
        <v>64185</v>
      </c>
      <c r="K122" s="14">
        <f>G122-0</f>
        <v>45000</v>
      </c>
      <c r="L122" s="14">
        <v>64185</v>
      </c>
      <c r="M122" s="29">
        <v>0</v>
      </c>
      <c r="N122" s="33">
        <v>0</v>
      </c>
      <c r="O122" s="38">
        <v>1.89</v>
      </c>
      <c r="P122" s="38">
        <v>1.89</v>
      </c>
      <c r="Q122" s="14" t="e">
        <f t="shared" si="5"/>
        <v>#DIV/0!</v>
      </c>
      <c r="R122" s="14">
        <f t="shared" si="6"/>
        <v>23809.523809523809</v>
      </c>
      <c r="S122" s="43">
        <f t="shared" si="7"/>
        <v>0.54659145568236478</v>
      </c>
      <c r="T122" s="38">
        <v>0</v>
      </c>
      <c r="U122" s="5" t="s">
        <v>29</v>
      </c>
      <c r="V122" t="s">
        <v>155</v>
      </c>
      <c r="X122" t="s">
        <v>31</v>
      </c>
      <c r="Y122" s="6" t="s">
        <v>113</v>
      </c>
    </row>
    <row r="123" spans="1:25" x14ac:dyDescent="0.25">
      <c r="A123" t="s">
        <v>254</v>
      </c>
      <c r="B123" t="s">
        <v>255</v>
      </c>
      <c r="C123" s="24">
        <v>44749</v>
      </c>
      <c r="D123" s="14">
        <v>45000</v>
      </c>
      <c r="E123" t="s">
        <v>27</v>
      </c>
      <c r="F123" t="s">
        <v>28</v>
      </c>
      <c r="G123" s="14">
        <v>45000</v>
      </c>
      <c r="H123" s="14">
        <v>36100</v>
      </c>
      <c r="I123" s="19">
        <f t="shared" si="4"/>
        <v>80.222222222222214</v>
      </c>
      <c r="J123" s="14">
        <v>72180</v>
      </c>
      <c r="K123" s="14">
        <f>G123-0</f>
        <v>45000</v>
      </c>
      <c r="L123" s="14">
        <v>72180</v>
      </c>
      <c r="M123" s="29">
        <v>0</v>
      </c>
      <c r="N123" s="33">
        <v>0</v>
      </c>
      <c r="O123" s="38">
        <v>3.48</v>
      </c>
      <c r="P123" s="38">
        <v>3.48</v>
      </c>
      <c r="Q123" s="14" t="e">
        <f t="shared" si="5"/>
        <v>#DIV/0!</v>
      </c>
      <c r="R123" s="14">
        <f t="shared" si="6"/>
        <v>12931.034482758621</v>
      </c>
      <c r="S123" s="43">
        <f t="shared" si="7"/>
        <v>0.29685570437921538</v>
      </c>
      <c r="T123" s="38">
        <v>0</v>
      </c>
      <c r="U123" s="5" t="s">
        <v>29</v>
      </c>
      <c r="V123" t="s">
        <v>256</v>
      </c>
      <c r="X123" t="s">
        <v>31</v>
      </c>
      <c r="Y123" s="6" t="s">
        <v>113</v>
      </c>
    </row>
    <row r="124" spans="1:25" x14ac:dyDescent="0.25">
      <c r="A124" t="s">
        <v>169</v>
      </c>
      <c r="B124" t="s">
        <v>154</v>
      </c>
      <c r="C124" s="24">
        <v>44412</v>
      </c>
      <c r="D124" s="14">
        <v>38500</v>
      </c>
      <c r="E124" t="s">
        <v>27</v>
      </c>
      <c r="F124" t="s">
        <v>28</v>
      </c>
      <c r="G124" s="14">
        <v>38500</v>
      </c>
      <c r="H124" s="14">
        <v>34400</v>
      </c>
      <c r="I124" s="19">
        <f t="shared" si="4"/>
        <v>89.350649350649348</v>
      </c>
      <c r="J124" s="14">
        <v>68880</v>
      </c>
      <c r="K124" s="14">
        <f>G124-0</f>
        <v>38500</v>
      </c>
      <c r="L124" s="14">
        <v>68880</v>
      </c>
      <c r="M124" s="29">
        <v>0</v>
      </c>
      <c r="N124" s="33">
        <v>0</v>
      </c>
      <c r="O124" s="38">
        <v>2.36</v>
      </c>
      <c r="P124" s="38">
        <v>2.36</v>
      </c>
      <c r="Q124" s="14" t="e">
        <f t="shared" si="5"/>
        <v>#DIV/0!</v>
      </c>
      <c r="R124" s="14">
        <f t="shared" si="6"/>
        <v>16313.5593220339</v>
      </c>
      <c r="S124" s="43">
        <f t="shared" si="7"/>
        <v>0.37450778976202709</v>
      </c>
      <c r="T124" s="38">
        <v>0</v>
      </c>
      <c r="U124" s="5" t="s">
        <v>29</v>
      </c>
      <c r="V124" t="s">
        <v>170</v>
      </c>
      <c r="X124" t="s">
        <v>31</v>
      </c>
      <c r="Y124" s="6" t="s">
        <v>113</v>
      </c>
    </row>
    <row r="125" spans="1:25" x14ac:dyDescent="0.25">
      <c r="A125" t="s">
        <v>129</v>
      </c>
      <c r="B125" t="s">
        <v>130</v>
      </c>
      <c r="C125" s="24">
        <v>44610</v>
      </c>
      <c r="D125" s="14">
        <v>55000</v>
      </c>
      <c r="E125" t="s">
        <v>27</v>
      </c>
      <c r="F125" t="s">
        <v>28</v>
      </c>
      <c r="G125" s="14">
        <v>55000</v>
      </c>
      <c r="H125" s="14">
        <v>17500</v>
      </c>
      <c r="I125" s="19">
        <f t="shared" si="4"/>
        <v>31.818181818181817</v>
      </c>
      <c r="J125" s="14">
        <v>35000</v>
      </c>
      <c r="K125" s="14">
        <f>G125-0</f>
        <v>55000</v>
      </c>
      <c r="L125" s="14">
        <v>35000</v>
      </c>
      <c r="M125" s="29">
        <v>0</v>
      </c>
      <c r="N125" s="33">
        <v>0</v>
      </c>
      <c r="O125" s="38">
        <v>1.25</v>
      </c>
      <c r="P125" s="38">
        <v>1.25</v>
      </c>
      <c r="Q125" s="14" t="e">
        <f t="shared" si="5"/>
        <v>#DIV/0!</v>
      </c>
      <c r="R125" s="14">
        <f t="shared" si="6"/>
        <v>44000</v>
      </c>
      <c r="S125" s="43">
        <f t="shared" si="7"/>
        <v>1.0101010101010102</v>
      </c>
      <c r="T125" s="38">
        <v>0</v>
      </c>
      <c r="U125" s="5" t="s">
        <v>29</v>
      </c>
      <c r="V125" t="s">
        <v>131</v>
      </c>
      <c r="X125" t="s">
        <v>47</v>
      </c>
      <c r="Y125" s="6" t="s">
        <v>113</v>
      </c>
    </row>
    <row r="126" spans="1:25" x14ac:dyDescent="0.25">
      <c r="A126" t="s">
        <v>236</v>
      </c>
      <c r="B126" t="s">
        <v>237</v>
      </c>
      <c r="C126" s="24">
        <v>44713</v>
      </c>
      <c r="D126" s="14">
        <v>478750</v>
      </c>
      <c r="E126" t="s">
        <v>27</v>
      </c>
      <c r="F126" t="s">
        <v>28</v>
      </c>
      <c r="G126" s="14">
        <v>478750</v>
      </c>
      <c r="H126" s="14">
        <v>170800</v>
      </c>
      <c r="I126" s="19">
        <f t="shared" si="4"/>
        <v>35.676240208877289</v>
      </c>
      <c r="J126" s="14">
        <v>341554</v>
      </c>
      <c r="K126" s="14">
        <f>G126-249634</f>
        <v>229116</v>
      </c>
      <c r="L126" s="14">
        <v>91920</v>
      </c>
      <c r="M126" s="29">
        <v>0</v>
      </c>
      <c r="N126" s="33">
        <v>0</v>
      </c>
      <c r="O126" s="38">
        <v>3.48</v>
      </c>
      <c r="P126" s="38">
        <v>3.48</v>
      </c>
      <c r="Q126" s="14" t="e">
        <f t="shared" si="5"/>
        <v>#DIV/0!</v>
      </c>
      <c r="R126" s="14">
        <f t="shared" si="6"/>
        <v>65837.931034482754</v>
      </c>
      <c r="S126" s="43">
        <f t="shared" si="7"/>
        <v>1.5114309236566288</v>
      </c>
      <c r="T126" s="38">
        <v>0</v>
      </c>
      <c r="U126" s="5" t="s">
        <v>29</v>
      </c>
      <c r="V126" t="s">
        <v>238</v>
      </c>
      <c r="X126" t="s">
        <v>47</v>
      </c>
      <c r="Y126" s="6" t="s">
        <v>32</v>
      </c>
    </row>
    <row r="127" spans="1:25" x14ac:dyDescent="0.25">
      <c r="A127" t="s">
        <v>92</v>
      </c>
      <c r="B127" t="s">
        <v>93</v>
      </c>
      <c r="C127" s="24">
        <v>44785</v>
      </c>
      <c r="D127" s="14">
        <v>340000</v>
      </c>
      <c r="E127" t="s">
        <v>27</v>
      </c>
      <c r="F127" t="s">
        <v>28</v>
      </c>
      <c r="G127" s="14">
        <v>340000</v>
      </c>
      <c r="H127" s="14">
        <v>123600</v>
      </c>
      <c r="I127" s="19">
        <f t="shared" si="4"/>
        <v>36.352941176470587</v>
      </c>
      <c r="J127" s="14">
        <v>247213</v>
      </c>
      <c r="K127" s="14">
        <f>G127-182013</f>
        <v>157987</v>
      </c>
      <c r="L127" s="14">
        <v>65200</v>
      </c>
      <c r="M127" s="29">
        <v>0</v>
      </c>
      <c r="N127" s="33">
        <v>0</v>
      </c>
      <c r="O127" s="38">
        <v>1.1000000000000001</v>
      </c>
      <c r="P127" s="38">
        <v>1.1000000000000001</v>
      </c>
      <c r="Q127" s="14" t="e">
        <f t="shared" si="5"/>
        <v>#DIV/0!</v>
      </c>
      <c r="R127" s="14">
        <f t="shared" si="6"/>
        <v>143624.54545454544</v>
      </c>
      <c r="S127" s="43">
        <f t="shared" si="7"/>
        <v>3.2971658736121543</v>
      </c>
      <c r="T127" s="38">
        <v>0</v>
      </c>
      <c r="U127" s="5" t="s">
        <v>29</v>
      </c>
      <c r="V127" t="s">
        <v>94</v>
      </c>
      <c r="X127" t="s">
        <v>47</v>
      </c>
      <c r="Y127" s="6" t="s">
        <v>32</v>
      </c>
    </row>
    <row r="128" spans="1:25" x14ac:dyDescent="0.25">
      <c r="A128" t="s">
        <v>229</v>
      </c>
      <c r="B128" t="s">
        <v>230</v>
      </c>
      <c r="C128" s="24">
        <v>45037</v>
      </c>
      <c r="D128" s="14">
        <v>390000</v>
      </c>
      <c r="E128" t="s">
        <v>27</v>
      </c>
      <c r="F128" t="s">
        <v>28</v>
      </c>
      <c r="G128" s="14">
        <v>390000</v>
      </c>
      <c r="H128" s="14">
        <v>147300</v>
      </c>
      <c r="I128" s="19">
        <f t="shared" si="4"/>
        <v>37.769230769230774</v>
      </c>
      <c r="J128" s="14">
        <v>294564</v>
      </c>
      <c r="K128" s="14">
        <f>G128-226164</f>
        <v>163836</v>
      </c>
      <c r="L128" s="14">
        <v>68400</v>
      </c>
      <c r="M128" s="29">
        <v>0</v>
      </c>
      <c r="N128" s="33">
        <v>0</v>
      </c>
      <c r="O128" s="38">
        <v>1.2</v>
      </c>
      <c r="P128" s="38">
        <v>1.2</v>
      </c>
      <c r="Q128" s="14" t="e">
        <f t="shared" si="5"/>
        <v>#DIV/0!</v>
      </c>
      <c r="R128" s="14">
        <f t="shared" si="6"/>
        <v>136530</v>
      </c>
      <c r="S128" s="43">
        <f t="shared" si="7"/>
        <v>3.134297520661157</v>
      </c>
      <c r="T128" s="38">
        <v>0</v>
      </c>
      <c r="U128" s="5" t="s">
        <v>29</v>
      </c>
      <c r="V128" t="s">
        <v>232</v>
      </c>
      <c r="X128" t="s">
        <v>47</v>
      </c>
      <c r="Y128" s="6" t="s">
        <v>32</v>
      </c>
    </row>
    <row r="129" spans="1:25" x14ac:dyDescent="0.25">
      <c r="A129" t="s">
        <v>233</v>
      </c>
      <c r="B129" t="s">
        <v>234</v>
      </c>
      <c r="C129" s="24">
        <v>44404</v>
      </c>
      <c r="D129" s="14">
        <v>425000</v>
      </c>
      <c r="E129" t="s">
        <v>27</v>
      </c>
      <c r="F129" t="s">
        <v>28</v>
      </c>
      <c r="G129" s="14">
        <v>425000</v>
      </c>
      <c r="H129" s="14">
        <v>171800</v>
      </c>
      <c r="I129" s="19">
        <f t="shared" si="4"/>
        <v>40.423529411764711</v>
      </c>
      <c r="J129" s="14">
        <v>343622</v>
      </c>
      <c r="K129" s="14">
        <f>G129-271062</f>
        <v>153938</v>
      </c>
      <c r="L129" s="14">
        <v>72560</v>
      </c>
      <c r="M129" s="29">
        <v>0</v>
      </c>
      <c r="N129" s="33">
        <v>0</v>
      </c>
      <c r="O129" s="38">
        <v>1.33</v>
      </c>
      <c r="P129" s="38">
        <v>1.33</v>
      </c>
      <c r="Q129" s="14" t="e">
        <f t="shared" si="5"/>
        <v>#DIV/0!</v>
      </c>
      <c r="R129" s="14">
        <f t="shared" si="6"/>
        <v>115742.85714285713</v>
      </c>
      <c r="S129" s="43">
        <f t="shared" si="7"/>
        <v>2.6570903843631113</v>
      </c>
      <c r="T129" s="38">
        <v>0</v>
      </c>
      <c r="U129" s="5" t="s">
        <v>29</v>
      </c>
      <c r="V129" t="s">
        <v>235</v>
      </c>
      <c r="X129" t="s">
        <v>47</v>
      </c>
      <c r="Y129" s="6" t="s">
        <v>32</v>
      </c>
    </row>
    <row r="130" spans="1:25" x14ac:dyDescent="0.25">
      <c r="A130" t="s">
        <v>565</v>
      </c>
      <c r="B130" t="s">
        <v>566</v>
      </c>
      <c r="C130" s="24">
        <v>45170</v>
      </c>
      <c r="D130" s="14">
        <v>242500</v>
      </c>
      <c r="E130" t="s">
        <v>27</v>
      </c>
      <c r="F130" t="s">
        <v>42</v>
      </c>
      <c r="G130" s="14">
        <v>242500</v>
      </c>
      <c r="H130" s="14">
        <v>106500</v>
      </c>
      <c r="I130" s="19">
        <f t="shared" ref="I130:I193" si="8">H130/G130*100</f>
        <v>43.917525773195877</v>
      </c>
      <c r="J130" s="14">
        <v>232478</v>
      </c>
      <c r="K130" s="14">
        <f>G130-131318</f>
        <v>111182</v>
      </c>
      <c r="L130" s="14">
        <v>81580</v>
      </c>
      <c r="M130" s="29">
        <v>0</v>
      </c>
      <c r="N130" s="33">
        <v>0</v>
      </c>
      <c r="O130" s="38">
        <v>1.89</v>
      </c>
      <c r="P130" s="38">
        <v>1</v>
      </c>
      <c r="Q130" s="14" t="e">
        <f t="shared" ref="Q130:Q193" si="9">K130/M130</f>
        <v>#DIV/0!</v>
      </c>
      <c r="R130" s="14">
        <f t="shared" ref="R130:R193" si="10">K130/O130</f>
        <v>58826.455026455027</v>
      </c>
      <c r="S130" s="43">
        <f t="shared" ref="S130:S193" si="11">K130/O130/43560</f>
        <v>1.350469582792815</v>
      </c>
      <c r="T130" s="38">
        <v>0</v>
      </c>
      <c r="U130" s="5" t="s">
        <v>29</v>
      </c>
      <c r="V130" t="s">
        <v>567</v>
      </c>
      <c r="W130" t="s">
        <v>568</v>
      </c>
      <c r="X130" t="s">
        <v>47</v>
      </c>
      <c r="Y130" s="6" t="s">
        <v>32</v>
      </c>
    </row>
    <row r="131" spans="1:25" x14ac:dyDescent="0.25">
      <c r="A131" t="s">
        <v>44</v>
      </c>
      <c r="B131" t="s">
        <v>45</v>
      </c>
      <c r="C131" s="24">
        <v>45142</v>
      </c>
      <c r="D131" s="14">
        <v>250000</v>
      </c>
      <c r="E131" t="s">
        <v>27</v>
      </c>
      <c r="F131" t="s">
        <v>28</v>
      </c>
      <c r="G131" s="14">
        <v>250000</v>
      </c>
      <c r="H131" s="14">
        <v>112800</v>
      </c>
      <c r="I131" s="19">
        <f t="shared" si="8"/>
        <v>45.12</v>
      </c>
      <c r="J131" s="14">
        <v>225507</v>
      </c>
      <c r="K131" s="14">
        <f>G131-163507</f>
        <v>86493</v>
      </c>
      <c r="L131" s="14">
        <v>62000</v>
      </c>
      <c r="M131" s="29">
        <v>0</v>
      </c>
      <c r="N131" s="33">
        <v>0</v>
      </c>
      <c r="O131" s="38">
        <v>1</v>
      </c>
      <c r="P131" s="38">
        <v>1</v>
      </c>
      <c r="Q131" s="14" t="e">
        <f t="shared" si="9"/>
        <v>#DIV/0!</v>
      </c>
      <c r="R131" s="14">
        <f t="shared" si="10"/>
        <v>86493</v>
      </c>
      <c r="S131" s="43">
        <f t="shared" si="11"/>
        <v>1.9856060606060606</v>
      </c>
      <c r="T131" s="38">
        <v>0</v>
      </c>
      <c r="U131" s="5" t="s">
        <v>29</v>
      </c>
      <c r="V131" t="s">
        <v>46</v>
      </c>
      <c r="X131" t="s">
        <v>47</v>
      </c>
      <c r="Y131" s="6" t="s">
        <v>32</v>
      </c>
    </row>
    <row r="132" spans="1:25" x14ac:dyDescent="0.25">
      <c r="A132" t="s">
        <v>222</v>
      </c>
      <c r="B132" t="s">
        <v>223</v>
      </c>
      <c r="C132" s="24">
        <v>44377</v>
      </c>
      <c r="D132" s="14">
        <v>331100</v>
      </c>
      <c r="E132" t="s">
        <v>27</v>
      </c>
      <c r="F132" t="s">
        <v>28</v>
      </c>
      <c r="G132" s="14">
        <v>331100</v>
      </c>
      <c r="H132" s="14">
        <v>158000</v>
      </c>
      <c r="I132" s="19">
        <f t="shared" si="8"/>
        <v>47.719722138326794</v>
      </c>
      <c r="J132" s="14">
        <v>315935</v>
      </c>
      <c r="K132" s="14">
        <f>G132-194435</f>
        <v>136665</v>
      </c>
      <c r="L132" s="14">
        <v>121500</v>
      </c>
      <c r="M132" s="29">
        <v>0</v>
      </c>
      <c r="N132" s="33">
        <v>0</v>
      </c>
      <c r="O132" s="38">
        <v>1.7</v>
      </c>
      <c r="P132" s="38">
        <v>1.7</v>
      </c>
      <c r="Q132" s="14" t="e">
        <f t="shared" si="9"/>
        <v>#DIV/0!</v>
      </c>
      <c r="R132" s="14">
        <f t="shared" si="10"/>
        <v>80391.176470588238</v>
      </c>
      <c r="S132" s="43">
        <f t="shared" si="11"/>
        <v>1.8455274671852213</v>
      </c>
      <c r="T132" s="38">
        <v>0</v>
      </c>
      <c r="U132" s="5" t="s">
        <v>29</v>
      </c>
      <c r="V132" t="s">
        <v>224</v>
      </c>
      <c r="X132" t="s">
        <v>47</v>
      </c>
      <c r="Y132" s="6" t="s">
        <v>32</v>
      </c>
    </row>
    <row r="133" spans="1:25" x14ac:dyDescent="0.25">
      <c r="A133" t="s">
        <v>225</v>
      </c>
      <c r="B133" t="s">
        <v>226</v>
      </c>
      <c r="C133" s="24">
        <v>44397</v>
      </c>
      <c r="D133" s="14">
        <v>135000</v>
      </c>
      <c r="E133" t="s">
        <v>27</v>
      </c>
      <c r="F133" t="s">
        <v>42</v>
      </c>
      <c r="G133" s="14">
        <v>135000</v>
      </c>
      <c r="H133" s="14">
        <v>67200</v>
      </c>
      <c r="I133" s="19">
        <f t="shared" si="8"/>
        <v>49.777777777777779</v>
      </c>
      <c r="J133" s="14">
        <v>185400</v>
      </c>
      <c r="K133" s="14">
        <f>G133-0</f>
        <v>135000</v>
      </c>
      <c r="L133" s="14">
        <v>134250</v>
      </c>
      <c r="M133" s="29">
        <v>0</v>
      </c>
      <c r="N133" s="33">
        <v>0</v>
      </c>
      <c r="O133" s="38">
        <v>3.1</v>
      </c>
      <c r="P133" s="38">
        <v>1.84</v>
      </c>
      <c r="Q133" s="14" t="e">
        <f t="shared" si="9"/>
        <v>#DIV/0!</v>
      </c>
      <c r="R133" s="14">
        <f t="shared" si="10"/>
        <v>43548.38709677419</v>
      </c>
      <c r="S133" s="43">
        <f t="shared" si="11"/>
        <v>0.99973340442548642</v>
      </c>
      <c r="T133" s="38">
        <v>0</v>
      </c>
      <c r="U133" s="5" t="s">
        <v>29</v>
      </c>
      <c r="V133" t="s">
        <v>227</v>
      </c>
      <c r="W133" t="s">
        <v>228</v>
      </c>
      <c r="X133" t="s">
        <v>47</v>
      </c>
      <c r="Y133" s="6" t="s">
        <v>32</v>
      </c>
    </row>
    <row r="134" spans="1:25" x14ac:dyDescent="0.25">
      <c r="A134" t="s">
        <v>95</v>
      </c>
      <c r="B134" t="s">
        <v>96</v>
      </c>
      <c r="C134" s="24">
        <v>45156</v>
      </c>
      <c r="D134" s="14">
        <v>395000</v>
      </c>
      <c r="E134" t="s">
        <v>27</v>
      </c>
      <c r="F134" t="s">
        <v>28</v>
      </c>
      <c r="G134" s="14">
        <v>395000</v>
      </c>
      <c r="H134" s="14">
        <v>201600</v>
      </c>
      <c r="I134" s="19">
        <f t="shared" si="8"/>
        <v>51.037974683544306</v>
      </c>
      <c r="J134" s="14">
        <v>403220</v>
      </c>
      <c r="K134" s="14">
        <f>G134-341220</f>
        <v>53780</v>
      </c>
      <c r="L134" s="14">
        <v>62000</v>
      </c>
      <c r="M134" s="29">
        <v>0</v>
      </c>
      <c r="N134" s="33">
        <v>0</v>
      </c>
      <c r="O134" s="38">
        <v>1</v>
      </c>
      <c r="P134" s="38">
        <v>1</v>
      </c>
      <c r="Q134" s="14" t="e">
        <f t="shared" si="9"/>
        <v>#DIV/0!</v>
      </c>
      <c r="R134" s="14">
        <f t="shared" si="10"/>
        <v>53780</v>
      </c>
      <c r="S134" s="43">
        <f t="shared" si="11"/>
        <v>1.2346189164370982</v>
      </c>
      <c r="T134" s="38">
        <v>0</v>
      </c>
      <c r="U134" s="5" t="s">
        <v>29</v>
      </c>
      <c r="V134" t="s">
        <v>97</v>
      </c>
      <c r="X134" t="s">
        <v>47</v>
      </c>
      <c r="Y134" s="6" t="s">
        <v>32</v>
      </c>
    </row>
    <row r="135" spans="1:25" x14ac:dyDescent="0.25">
      <c r="A135" t="s">
        <v>132</v>
      </c>
      <c r="B135" t="s">
        <v>133</v>
      </c>
      <c r="C135" s="24">
        <v>45160</v>
      </c>
      <c r="D135" s="14">
        <v>250000</v>
      </c>
      <c r="E135" t="s">
        <v>27</v>
      </c>
      <c r="F135" t="s">
        <v>28</v>
      </c>
      <c r="G135" s="14">
        <v>250000</v>
      </c>
      <c r="H135" s="14">
        <v>132100</v>
      </c>
      <c r="I135" s="19">
        <f t="shared" si="8"/>
        <v>52.839999999999996</v>
      </c>
      <c r="J135" s="14">
        <v>264126</v>
      </c>
      <c r="K135" s="14">
        <f>G135-85626</f>
        <v>164374</v>
      </c>
      <c r="L135" s="14">
        <v>178500</v>
      </c>
      <c r="M135" s="29">
        <v>0</v>
      </c>
      <c r="N135" s="33">
        <v>0</v>
      </c>
      <c r="O135" s="38">
        <v>2.7</v>
      </c>
      <c r="P135" s="38">
        <v>2.7</v>
      </c>
      <c r="Q135" s="14" t="e">
        <f t="shared" si="9"/>
        <v>#DIV/0!</v>
      </c>
      <c r="R135" s="14">
        <f t="shared" si="10"/>
        <v>60879.259259259255</v>
      </c>
      <c r="S135" s="43">
        <f t="shared" si="11"/>
        <v>1.3975954834540691</v>
      </c>
      <c r="T135" s="38">
        <v>0</v>
      </c>
      <c r="U135" s="5" t="s">
        <v>29</v>
      </c>
      <c r="V135" t="s">
        <v>134</v>
      </c>
      <c r="X135" t="s">
        <v>47</v>
      </c>
      <c r="Y135" s="6" t="s">
        <v>32</v>
      </c>
    </row>
    <row r="136" spans="1:25" x14ac:dyDescent="0.25">
      <c r="A136" t="s">
        <v>207</v>
      </c>
      <c r="B136" t="s">
        <v>208</v>
      </c>
      <c r="C136" s="24">
        <v>45016</v>
      </c>
      <c r="D136" s="14">
        <v>305000</v>
      </c>
      <c r="E136" t="s">
        <v>27</v>
      </c>
      <c r="F136" t="s">
        <v>28</v>
      </c>
      <c r="G136" s="14">
        <v>305000</v>
      </c>
      <c r="H136" s="14">
        <v>162500</v>
      </c>
      <c r="I136" s="19">
        <f t="shared" si="8"/>
        <v>53.278688524590166</v>
      </c>
      <c r="J136" s="14">
        <v>325071</v>
      </c>
      <c r="K136" s="14">
        <f>G136-263691</f>
        <v>41309</v>
      </c>
      <c r="L136" s="14">
        <v>61380</v>
      </c>
      <c r="M136" s="29">
        <v>0</v>
      </c>
      <c r="N136" s="33">
        <v>0</v>
      </c>
      <c r="O136" s="38">
        <v>0.99</v>
      </c>
      <c r="P136" s="38">
        <v>0.99</v>
      </c>
      <c r="Q136" s="14" t="e">
        <f t="shared" si="9"/>
        <v>#DIV/0!</v>
      </c>
      <c r="R136" s="14">
        <f t="shared" si="10"/>
        <v>41726.262626262629</v>
      </c>
      <c r="S136" s="43">
        <f t="shared" si="11"/>
        <v>0.95790318242108885</v>
      </c>
      <c r="T136" s="38">
        <v>0</v>
      </c>
      <c r="U136" s="5" t="s">
        <v>29</v>
      </c>
      <c r="V136" t="s">
        <v>209</v>
      </c>
      <c r="X136" t="s">
        <v>47</v>
      </c>
      <c r="Y136" s="6" t="s">
        <v>32</v>
      </c>
    </row>
    <row r="137" spans="1:25" x14ac:dyDescent="0.25">
      <c r="A137" t="s">
        <v>229</v>
      </c>
      <c r="B137" t="s">
        <v>230</v>
      </c>
      <c r="C137" s="24">
        <v>44839</v>
      </c>
      <c r="D137" s="14">
        <v>275000</v>
      </c>
      <c r="E137" t="s">
        <v>27</v>
      </c>
      <c r="F137" t="s">
        <v>28</v>
      </c>
      <c r="G137" s="14">
        <v>275000</v>
      </c>
      <c r="H137" s="14">
        <v>147300</v>
      </c>
      <c r="I137" s="19">
        <f t="shared" si="8"/>
        <v>53.56363636363637</v>
      </c>
      <c r="J137" s="14">
        <v>294564</v>
      </c>
      <c r="K137" s="14">
        <f>G137-226164</f>
        <v>48836</v>
      </c>
      <c r="L137" s="14">
        <v>68400</v>
      </c>
      <c r="M137" s="29">
        <v>0</v>
      </c>
      <c r="N137" s="33">
        <v>0</v>
      </c>
      <c r="O137" s="38">
        <v>1.2</v>
      </c>
      <c r="P137" s="38">
        <v>1.2</v>
      </c>
      <c r="Q137" s="14" t="e">
        <f t="shared" si="9"/>
        <v>#DIV/0!</v>
      </c>
      <c r="R137" s="14">
        <f t="shared" si="10"/>
        <v>40696.666666666672</v>
      </c>
      <c r="S137" s="43">
        <f t="shared" si="11"/>
        <v>0.93426691153963892</v>
      </c>
      <c r="T137" s="38">
        <v>0</v>
      </c>
      <c r="U137" s="5" t="s">
        <v>29</v>
      </c>
      <c r="V137" t="s">
        <v>231</v>
      </c>
      <c r="X137" t="s">
        <v>47</v>
      </c>
      <c r="Y137" s="6" t="s">
        <v>32</v>
      </c>
    </row>
    <row r="138" spans="1:25" x14ac:dyDescent="0.25">
      <c r="A138" t="s">
        <v>213</v>
      </c>
      <c r="B138" t="s">
        <v>214</v>
      </c>
      <c r="C138" s="24">
        <v>45008</v>
      </c>
      <c r="D138" s="14">
        <v>130000</v>
      </c>
      <c r="E138" t="s">
        <v>27</v>
      </c>
      <c r="F138" t="s">
        <v>28</v>
      </c>
      <c r="G138" s="14">
        <v>130000</v>
      </c>
      <c r="H138" s="14">
        <v>75100</v>
      </c>
      <c r="I138" s="19">
        <f t="shared" si="8"/>
        <v>57.769230769230774</v>
      </c>
      <c r="J138" s="14">
        <v>150240</v>
      </c>
      <c r="K138" s="14">
        <f>G138-0</f>
        <v>130000</v>
      </c>
      <c r="L138" s="14">
        <v>150240</v>
      </c>
      <c r="M138" s="29">
        <v>0</v>
      </c>
      <c r="N138" s="33">
        <v>0</v>
      </c>
      <c r="O138" s="38">
        <v>1.41</v>
      </c>
      <c r="P138" s="38">
        <v>1.41</v>
      </c>
      <c r="Q138" s="14" t="e">
        <f t="shared" si="9"/>
        <v>#DIV/0!</v>
      </c>
      <c r="R138" s="14">
        <f t="shared" si="10"/>
        <v>92198.581560283696</v>
      </c>
      <c r="S138" s="43">
        <f t="shared" si="11"/>
        <v>2.1165881900891574</v>
      </c>
      <c r="T138" s="38">
        <v>0</v>
      </c>
      <c r="U138" s="5" t="s">
        <v>29</v>
      </c>
      <c r="V138" t="s">
        <v>215</v>
      </c>
      <c r="X138" t="s">
        <v>47</v>
      </c>
      <c r="Y138" s="6" t="s">
        <v>113</v>
      </c>
    </row>
    <row r="139" spans="1:25" x14ac:dyDescent="0.25">
      <c r="A139" t="s">
        <v>526</v>
      </c>
      <c r="B139" t="s">
        <v>527</v>
      </c>
      <c r="C139" s="24">
        <v>44846</v>
      </c>
      <c r="D139" s="14">
        <v>425000</v>
      </c>
      <c r="E139" t="s">
        <v>27</v>
      </c>
      <c r="F139" t="s">
        <v>28</v>
      </c>
      <c r="G139" s="14">
        <v>425000</v>
      </c>
      <c r="H139" s="14">
        <v>180500</v>
      </c>
      <c r="I139" s="19">
        <f t="shared" si="8"/>
        <v>42.470588235294116</v>
      </c>
      <c r="J139" s="14">
        <v>360984</v>
      </c>
      <c r="K139" s="14">
        <f>G139-320984</f>
        <v>104016</v>
      </c>
      <c r="L139" s="14">
        <v>40000</v>
      </c>
      <c r="M139" s="29">
        <v>0</v>
      </c>
      <c r="N139" s="33">
        <v>0</v>
      </c>
      <c r="O139" s="38">
        <v>1.05</v>
      </c>
      <c r="P139" s="38">
        <v>1.05</v>
      </c>
      <c r="Q139" s="14" t="e">
        <f t="shared" si="9"/>
        <v>#DIV/0!</v>
      </c>
      <c r="R139" s="14">
        <f t="shared" si="10"/>
        <v>99062.857142857145</v>
      </c>
      <c r="S139" s="43">
        <f t="shared" si="11"/>
        <v>2.2741702741702743</v>
      </c>
      <c r="T139" s="38">
        <v>0</v>
      </c>
      <c r="U139" s="5" t="s">
        <v>387</v>
      </c>
      <c r="V139" t="s">
        <v>528</v>
      </c>
      <c r="X139" t="s">
        <v>388</v>
      </c>
      <c r="Y139" s="6" t="s">
        <v>32</v>
      </c>
    </row>
    <row r="140" spans="1:25" x14ac:dyDescent="0.25">
      <c r="A140" t="s">
        <v>589</v>
      </c>
      <c r="B140" t="s">
        <v>590</v>
      </c>
      <c r="C140" s="24">
        <v>44922</v>
      </c>
      <c r="D140" s="14">
        <v>285000</v>
      </c>
      <c r="E140" t="s">
        <v>27</v>
      </c>
      <c r="F140" t="s">
        <v>28</v>
      </c>
      <c r="G140" s="14">
        <v>285000</v>
      </c>
      <c r="H140" s="14">
        <v>98900</v>
      </c>
      <c r="I140" s="19">
        <f t="shared" si="8"/>
        <v>34.701754385964911</v>
      </c>
      <c r="J140" s="14">
        <v>197818</v>
      </c>
      <c r="K140" s="14">
        <f>G140-132818</f>
        <v>152182</v>
      </c>
      <c r="L140" s="14">
        <v>65000</v>
      </c>
      <c r="M140" s="29">
        <v>0</v>
      </c>
      <c r="N140" s="33">
        <v>0</v>
      </c>
      <c r="O140" s="38">
        <v>0.4</v>
      </c>
      <c r="P140" s="38">
        <v>0.4</v>
      </c>
      <c r="Q140" s="14" t="e">
        <f t="shared" si="9"/>
        <v>#DIV/0!</v>
      </c>
      <c r="R140" s="14">
        <f t="shared" si="10"/>
        <v>380455</v>
      </c>
      <c r="S140" s="43">
        <f t="shared" si="11"/>
        <v>8.734044995408631</v>
      </c>
      <c r="T140" s="38">
        <v>0</v>
      </c>
      <c r="U140" s="5" t="s">
        <v>347</v>
      </c>
      <c r="V140" t="s">
        <v>591</v>
      </c>
      <c r="X140" t="s">
        <v>350</v>
      </c>
      <c r="Y140" s="6" t="s">
        <v>32</v>
      </c>
    </row>
    <row r="141" spans="1:25" x14ac:dyDescent="0.25">
      <c r="A141" t="s">
        <v>384</v>
      </c>
      <c r="B141" t="s">
        <v>385</v>
      </c>
      <c r="C141" s="24">
        <v>45063</v>
      </c>
      <c r="D141" s="14">
        <v>362000</v>
      </c>
      <c r="E141" t="s">
        <v>27</v>
      </c>
      <c r="F141" t="s">
        <v>28</v>
      </c>
      <c r="G141" s="14">
        <v>362000</v>
      </c>
      <c r="H141" s="14">
        <v>127200</v>
      </c>
      <c r="I141" s="19">
        <f t="shared" si="8"/>
        <v>35.138121546961329</v>
      </c>
      <c r="J141" s="14">
        <v>254398</v>
      </c>
      <c r="K141" s="14">
        <f>G141-216398</f>
        <v>145602</v>
      </c>
      <c r="L141" s="14">
        <v>38000</v>
      </c>
      <c r="M141" s="29">
        <v>0</v>
      </c>
      <c r="N141" s="33">
        <v>0</v>
      </c>
      <c r="O141" s="38">
        <v>0.39</v>
      </c>
      <c r="P141" s="38">
        <v>0.39</v>
      </c>
      <c r="Q141" s="14" t="e">
        <f t="shared" si="9"/>
        <v>#DIV/0!</v>
      </c>
      <c r="R141" s="14">
        <f t="shared" si="10"/>
        <v>373338.4615384615</v>
      </c>
      <c r="S141" s="43">
        <f t="shared" si="11"/>
        <v>8.5706717524899343</v>
      </c>
      <c r="T141" s="38">
        <v>0</v>
      </c>
      <c r="U141" s="5" t="s">
        <v>347</v>
      </c>
      <c r="V141" t="s">
        <v>386</v>
      </c>
      <c r="X141" t="s">
        <v>350</v>
      </c>
      <c r="Y141" s="6" t="s">
        <v>32</v>
      </c>
    </row>
    <row r="142" spans="1:25" x14ac:dyDescent="0.25">
      <c r="A142" t="s">
        <v>585</v>
      </c>
      <c r="B142" t="s">
        <v>586</v>
      </c>
      <c r="C142" s="24">
        <v>44673</v>
      </c>
      <c r="D142" s="14">
        <v>280000</v>
      </c>
      <c r="E142" t="s">
        <v>27</v>
      </c>
      <c r="F142" t="s">
        <v>587</v>
      </c>
      <c r="G142" s="14">
        <v>280000</v>
      </c>
      <c r="H142" s="14">
        <v>100700</v>
      </c>
      <c r="I142" s="19">
        <f t="shared" si="8"/>
        <v>35.964285714285715</v>
      </c>
      <c r="J142" s="14">
        <v>201414</v>
      </c>
      <c r="K142" s="14">
        <f>G142-136414</f>
        <v>143586</v>
      </c>
      <c r="L142" s="14">
        <v>65000</v>
      </c>
      <c r="M142" s="29">
        <v>0</v>
      </c>
      <c r="N142" s="33">
        <v>0</v>
      </c>
      <c r="O142" s="38">
        <v>0.37</v>
      </c>
      <c r="P142" s="38">
        <v>0.37</v>
      </c>
      <c r="Q142" s="14" t="e">
        <f t="shared" si="9"/>
        <v>#DIV/0!</v>
      </c>
      <c r="R142" s="14">
        <f t="shared" si="10"/>
        <v>388070.2702702703</v>
      </c>
      <c r="S142" s="43">
        <f t="shared" si="11"/>
        <v>8.9088675452311819</v>
      </c>
      <c r="T142" s="38">
        <v>0</v>
      </c>
      <c r="U142" s="5" t="s">
        <v>347</v>
      </c>
      <c r="V142" t="s">
        <v>588</v>
      </c>
      <c r="X142" t="s">
        <v>350</v>
      </c>
      <c r="Y142" s="6" t="s">
        <v>32</v>
      </c>
    </row>
    <row r="143" spans="1:25" x14ac:dyDescent="0.25">
      <c r="A143" t="s">
        <v>722</v>
      </c>
      <c r="B143" t="s">
        <v>723</v>
      </c>
      <c r="C143" s="24">
        <v>44875</v>
      </c>
      <c r="D143" s="14">
        <v>279900</v>
      </c>
      <c r="E143" t="s">
        <v>27</v>
      </c>
      <c r="F143" t="s">
        <v>28</v>
      </c>
      <c r="G143" s="14">
        <v>279900</v>
      </c>
      <c r="H143" s="14">
        <v>112100</v>
      </c>
      <c r="I143" s="19">
        <f t="shared" si="8"/>
        <v>40.050017863522683</v>
      </c>
      <c r="J143" s="14">
        <v>224221</v>
      </c>
      <c r="K143" s="14">
        <f>G143-163221</f>
        <v>116679</v>
      </c>
      <c r="L143" s="14">
        <v>61000</v>
      </c>
      <c r="M143" s="29">
        <v>0</v>
      </c>
      <c r="N143" s="33">
        <v>0</v>
      </c>
      <c r="O143" s="38">
        <v>0.46</v>
      </c>
      <c r="P143" s="38">
        <v>0.46</v>
      </c>
      <c r="Q143" s="14" t="e">
        <f t="shared" si="9"/>
        <v>#DIV/0!</v>
      </c>
      <c r="R143" s="14">
        <f t="shared" si="10"/>
        <v>253650</v>
      </c>
      <c r="S143" s="43">
        <f t="shared" si="11"/>
        <v>5.8230027548209362</v>
      </c>
      <c r="T143" s="38">
        <v>0</v>
      </c>
      <c r="U143" s="5" t="s">
        <v>347</v>
      </c>
      <c r="V143" t="s">
        <v>725</v>
      </c>
      <c r="X143" t="s">
        <v>350</v>
      </c>
      <c r="Y143" s="6" t="s">
        <v>32</v>
      </c>
    </row>
    <row r="144" spans="1:25" x14ac:dyDescent="0.25">
      <c r="A144" t="s">
        <v>732</v>
      </c>
      <c r="B144" t="s">
        <v>733</v>
      </c>
      <c r="C144" s="24">
        <v>45090</v>
      </c>
      <c r="D144" s="14">
        <v>392000</v>
      </c>
      <c r="E144" t="s">
        <v>27</v>
      </c>
      <c r="F144" t="s">
        <v>28</v>
      </c>
      <c r="G144" s="14">
        <v>392000</v>
      </c>
      <c r="H144" s="14">
        <v>157200</v>
      </c>
      <c r="I144" s="19">
        <f t="shared" si="8"/>
        <v>40.102040816326529</v>
      </c>
      <c r="J144" s="14">
        <v>314336</v>
      </c>
      <c r="K144" s="14">
        <f>G144-253336</f>
        <v>138664</v>
      </c>
      <c r="L144" s="14">
        <v>61000</v>
      </c>
      <c r="M144" s="29">
        <v>0</v>
      </c>
      <c r="N144" s="33">
        <v>0</v>
      </c>
      <c r="O144" s="38">
        <v>0.44</v>
      </c>
      <c r="P144" s="38">
        <v>0.44</v>
      </c>
      <c r="Q144" s="14" t="e">
        <f t="shared" si="9"/>
        <v>#DIV/0!</v>
      </c>
      <c r="R144" s="14">
        <f t="shared" si="10"/>
        <v>315145.45454545453</v>
      </c>
      <c r="S144" s="43">
        <f t="shared" si="11"/>
        <v>7.2347441355705815</v>
      </c>
      <c r="T144" s="38">
        <v>0</v>
      </c>
      <c r="U144" s="5" t="s">
        <v>347</v>
      </c>
      <c r="V144" t="s">
        <v>734</v>
      </c>
      <c r="X144" t="s">
        <v>350</v>
      </c>
      <c r="Y144" s="6" t="s">
        <v>32</v>
      </c>
    </row>
    <row r="145" spans="1:25" x14ac:dyDescent="0.25">
      <c r="A145" t="s">
        <v>760</v>
      </c>
      <c r="B145" t="s">
        <v>761</v>
      </c>
      <c r="C145" s="24">
        <v>44722</v>
      </c>
      <c r="D145" s="14">
        <v>405000</v>
      </c>
      <c r="E145" t="s">
        <v>27</v>
      </c>
      <c r="F145" t="s">
        <v>28</v>
      </c>
      <c r="G145" s="14">
        <v>405000</v>
      </c>
      <c r="H145" s="14">
        <v>168300</v>
      </c>
      <c r="I145" s="19">
        <f t="shared" si="8"/>
        <v>41.555555555555557</v>
      </c>
      <c r="J145" s="14">
        <v>336556</v>
      </c>
      <c r="K145" s="14">
        <f>G145-275556</f>
        <v>129444</v>
      </c>
      <c r="L145" s="14">
        <v>61000</v>
      </c>
      <c r="M145" s="29">
        <v>0</v>
      </c>
      <c r="N145" s="33">
        <v>0</v>
      </c>
      <c r="O145" s="38">
        <v>0.55000000000000004</v>
      </c>
      <c r="P145" s="38">
        <v>0.55000000000000004</v>
      </c>
      <c r="Q145" s="14" t="e">
        <f t="shared" si="9"/>
        <v>#DIV/0!</v>
      </c>
      <c r="R145" s="14">
        <f t="shared" si="10"/>
        <v>235352.72727272726</v>
      </c>
      <c r="S145" s="43">
        <f t="shared" si="11"/>
        <v>5.4029551715502127</v>
      </c>
      <c r="T145" s="38">
        <v>0</v>
      </c>
      <c r="U145" s="5" t="s">
        <v>347</v>
      </c>
      <c r="V145" t="s">
        <v>762</v>
      </c>
      <c r="X145" t="s">
        <v>350</v>
      </c>
      <c r="Y145" s="6" t="s">
        <v>32</v>
      </c>
    </row>
    <row r="146" spans="1:25" x14ac:dyDescent="0.25">
      <c r="A146" t="s">
        <v>371</v>
      </c>
      <c r="B146" t="s">
        <v>372</v>
      </c>
      <c r="C146" s="24">
        <v>44739</v>
      </c>
      <c r="D146" s="14">
        <v>350000</v>
      </c>
      <c r="E146" t="s">
        <v>27</v>
      </c>
      <c r="F146" t="s">
        <v>28</v>
      </c>
      <c r="G146" s="14">
        <v>350000</v>
      </c>
      <c r="H146" s="14">
        <v>145900</v>
      </c>
      <c r="I146" s="19">
        <f t="shared" si="8"/>
        <v>41.68571428571429</v>
      </c>
      <c r="J146" s="14">
        <v>291871</v>
      </c>
      <c r="K146" s="14">
        <f>G146-253871</f>
        <v>96129</v>
      </c>
      <c r="L146" s="14">
        <v>38000</v>
      </c>
      <c r="M146" s="29">
        <v>0</v>
      </c>
      <c r="N146" s="33">
        <v>0</v>
      </c>
      <c r="O146" s="38">
        <v>0.34</v>
      </c>
      <c r="P146" s="38">
        <v>0.34</v>
      </c>
      <c r="Q146" s="14" t="e">
        <f t="shared" si="9"/>
        <v>#DIV/0!</v>
      </c>
      <c r="R146" s="14">
        <f t="shared" si="10"/>
        <v>282732.35294117645</v>
      </c>
      <c r="S146" s="43">
        <f t="shared" si="11"/>
        <v>6.4906417112299462</v>
      </c>
      <c r="T146" s="38">
        <v>0</v>
      </c>
      <c r="U146" s="5" t="s">
        <v>347</v>
      </c>
      <c r="V146" t="s">
        <v>373</v>
      </c>
      <c r="X146" t="s">
        <v>350</v>
      </c>
      <c r="Y146" s="6" t="s">
        <v>32</v>
      </c>
    </row>
    <row r="147" spans="1:25" x14ac:dyDescent="0.25">
      <c r="A147" t="s">
        <v>579</v>
      </c>
      <c r="B147" t="s">
        <v>580</v>
      </c>
      <c r="C147" s="24">
        <v>45072</v>
      </c>
      <c r="D147" s="14">
        <v>257500</v>
      </c>
      <c r="E147" t="s">
        <v>27</v>
      </c>
      <c r="F147" t="s">
        <v>28</v>
      </c>
      <c r="G147" s="14">
        <v>257500</v>
      </c>
      <c r="H147" s="14">
        <v>107600</v>
      </c>
      <c r="I147" s="19">
        <f t="shared" si="8"/>
        <v>41.786407766990294</v>
      </c>
      <c r="J147" s="14">
        <v>215225</v>
      </c>
      <c r="K147" s="14">
        <f>G147-150225</f>
        <v>107275</v>
      </c>
      <c r="L147" s="14">
        <v>65000</v>
      </c>
      <c r="M147" s="29">
        <v>0</v>
      </c>
      <c r="N147" s="33">
        <v>0</v>
      </c>
      <c r="O147" s="38">
        <v>0.43</v>
      </c>
      <c r="P147" s="38">
        <v>0.43</v>
      </c>
      <c r="Q147" s="14" t="e">
        <f t="shared" si="9"/>
        <v>#DIV/0!</v>
      </c>
      <c r="R147" s="14">
        <f t="shared" si="10"/>
        <v>249476.7441860465</v>
      </c>
      <c r="S147" s="43">
        <f t="shared" si="11"/>
        <v>5.7271979840690195</v>
      </c>
      <c r="T147" s="38">
        <v>0</v>
      </c>
      <c r="U147" s="5" t="s">
        <v>347</v>
      </c>
      <c r="V147" t="s">
        <v>581</v>
      </c>
      <c r="X147" t="s">
        <v>350</v>
      </c>
      <c r="Y147" s="6" t="s">
        <v>32</v>
      </c>
    </row>
    <row r="148" spans="1:25" x14ac:dyDescent="0.25">
      <c r="A148" t="s">
        <v>458</v>
      </c>
      <c r="B148" t="s">
        <v>459</v>
      </c>
      <c r="C148" s="24">
        <v>44839</v>
      </c>
      <c r="D148" s="14">
        <v>54900</v>
      </c>
      <c r="E148" t="s">
        <v>27</v>
      </c>
      <c r="F148" t="s">
        <v>28</v>
      </c>
      <c r="G148" s="14">
        <v>54900</v>
      </c>
      <c r="H148" s="14">
        <v>23000</v>
      </c>
      <c r="I148" s="19">
        <f t="shared" si="8"/>
        <v>41.894353369763202</v>
      </c>
      <c r="J148" s="14">
        <v>46000</v>
      </c>
      <c r="K148" s="14">
        <f>G148-0</f>
        <v>54900</v>
      </c>
      <c r="L148" s="14">
        <v>46000</v>
      </c>
      <c r="M148" s="29">
        <v>0</v>
      </c>
      <c r="N148" s="33">
        <v>0</v>
      </c>
      <c r="O148" s="38">
        <v>0</v>
      </c>
      <c r="P148" s="38">
        <v>0</v>
      </c>
      <c r="Q148" s="14" t="e">
        <f t="shared" si="9"/>
        <v>#DIV/0!</v>
      </c>
      <c r="R148" s="14" t="e">
        <f t="shared" si="10"/>
        <v>#DIV/0!</v>
      </c>
      <c r="S148" s="43" t="e">
        <f t="shared" si="11"/>
        <v>#DIV/0!</v>
      </c>
      <c r="T148" s="38">
        <v>0</v>
      </c>
      <c r="U148" s="5" t="s">
        <v>347</v>
      </c>
      <c r="V148" t="s">
        <v>460</v>
      </c>
      <c r="X148" t="s">
        <v>350</v>
      </c>
      <c r="Y148" s="6" t="s">
        <v>32</v>
      </c>
    </row>
    <row r="149" spans="1:25" x14ac:dyDescent="0.25">
      <c r="A149" t="s">
        <v>475</v>
      </c>
      <c r="B149" t="s">
        <v>476</v>
      </c>
      <c r="C149" s="24">
        <v>44742</v>
      </c>
      <c r="D149" s="14">
        <v>320000</v>
      </c>
      <c r="E149" t="s">
        <v>27</v>
      </c>
      <c r="F149" t="s">
        <v>28</v>
      </c>
      <c r="G149" s="14">
        <v>320000</v>
      </c>
      <c r="H149" s="14">
        <v>134500</v>
      </c>
      <c r="I149" s="19">
        <f t="shared" si="8"/>
        <v>42.03125</v>
      </c>
      <c r="J149" s="14">
        <v>269001</v>
      </c>
      <c r="K149" s="14">
        <f>G149-227001</f>
        <v>92999</v>
      </c>
      <c r="L149" s="14">
        <v>42000</v>
      </c>
      <c r="M149" s="29">
        <v>0</v>
      </c>
      <c r="N149" s="33">
        <v>0</v>
      </c>
      <c r="O149" s="38">
        <v>0</v>
      </c>
      <c r="P149" s="38">
        <v>0</v>
      </c>
      <c r="Q149" s="14" t="e">
        <f t="shared" si="9"/>
        <v>#DIV/0!</v>
      </c>
      <c r="R149" s="14" t="e">
        <f t="shared" si="10"/>
        <v>#DIV/0!</v>
      </c>
      <c r="S149" s="43" t="e">
        <f t="shared" si="11"/>
        <v>#DIV/0!</v>
      </c>
      <c r="T149" s="38">
        <v>0</v>
      </c>
      <c r="U149" s="5" t="s">
        <v>347</v>
      </c>
      <c r="V149" t="s">
        <v>477</v>
      </c>
      <c r="X149" t="s">
        <v>350</v>
      </c>
      <c r="Y149" s="6" t="s">
        <v>32</v>
      </c>
    </row>
    <row r="150" spans="1:25" x14ac:dyDescent="0.25">
      <c r="A150" t="s">
        <v>472</v>
      </c>
      <c r="B150" t="s">
        <v>473</v>
      </c>
      <c r="C150" s="24">
        <v>44725</v>
      </c>
      <c r="D150" s="14">
        <v>296000</v>
      </c>
      <c r="E150" t="s">
        <v>27</v>
      </c>
      <c r="F150" t="s">
        <v>28</v>
      </c>
      <c r="G150" s="14">
        <v>296000</v>
      </c>
      <c r="H150" s="14">
        <v>125700</v>
      </c>
      <c r="I150" s="19">
        <f t="shared" si="8"/>
        <v>42.466216216216218</v>
      </c>
      <c r="J150" s="14">
        <v>251317</v>
      </c>
      <c r="K150" s="14">
        <f>G150-209317</f>
        <v>86683</v>
      </c>
      <c r="L150" s="14">
        <v>42000</v>
      </c>
      <c r="M150" s="29">
        <v>80</v>
      </c>
      <c r="N150" s="33">
        <v>150</v>
      </c>
      <c r="O150" s="38">
        <v>0.27500000000000002</v>
      </c>
      <c r="P150" s="38">
        <v>0.27500000000000002</v>
      </c>
      <c r="Q150" s="14">
        <f t="shared" si="9"/>
        <v>1083.5374999999999</v>
      </c>
      <c r="R150" s="14">
        <f t="shared" si="10"/>
        <v>315210.90909090906</v>
      </c>
      <c r="S150" s="43">
        <f t="shared" si="11"/>
        <v>7.2362467651723845</v>
      </c>
      <c r="T150" s="38">
        <v>80</v>
      </c>
      <c r="U150" s="5" t="s">
        <v>347</v>
      </c>
      <c r="V150" t="s">
        <v>474</v>
      </c>
      <c r="X150" t="s">
        <v>350</v>
      </c>
      <c r="Y150" s="6" t="s">
        <v>32</v>
      </c>
    </row>
    <row r="151" spans="1:25" x14ac:dyDescent="0.25">
      <c r="A151" t="s">
        <v>538</v>
      </c>
      <c r="B151" t="s">
        <v>539</v>
      </c>
      <c r="C151" s="24">
        <v>44981</v>
      </c>
      <c r="D151" s="14">
        <v>440000</v>
      </c>
      <c r="E151" t="s">
        <v>27</v>
      </c>
      <c r="F151" t="s">
        <v>28</v>
      </c>
      <c r="G151" s="14">
        <v>440000</v>
      </c>
      <c r="H151" s="14">
        <v>187600</v>
      </c>
      <c r="I151" s="19">
        <f t="shared" si="8"/>
        <v>42.63636363636364</v>
      </c>
      <c r="J151" s="14">
        <v>375118</v>
      </c>
      <c r="K151" s="14">
        <f>G151-333118</f>
        <v>106882</v>
      </c>
      <c r="L151" s="14">
        <v>42000</v>
      </c>
      <c r="M151" s="29">
        <v>0</v>
      </c>
      <c r="N151" s="33">
        <v>0</v>
      </c>
      <c r="O151" s="38">
        <v>0</v>
      </c>
      <c r="P151" s="38">
        <v>0</v>
      </c>
      <c r="Q151" s="14" t="e">
        <f t="shared" si="9"/>
        <v>#DIV/0!</v>
      </c>
      <c r="R151" s="14" t="e">
        <f t="shared" si="10"/>
        <v>#DIV/0!</v>
      </c>
      <c r="S151" s="43" t="e">
        <f t="shared" si="11"/>
        <v>#DIV/0!</v>
      </c>
      <c r="T151" s="38">
        <v>0</v>
      </c>
      <c r="U151" s="5" t="s">
        <v>347</v>
      </c>
      <c r="V151" t="s">
        <v>540</v>
      </c>
      <c r="X151" t="s">
        <v>350</v>
      </c>
      <c r="Y151" s="6" t="s">
        <v>32</v>
      </c>
    </row>
    <row r="152" spans="1:25" x14ac:dyDescent="0.25">
      <c r="A152" t="s">
        <v>722</v>
      </c>
      <c r="B152" t="s">
        <v>723</v>
      </c>
      <c r="C152" s="24">
        <v>44606</v>
      </c>
      <c r="D152" s="14">
        <v>259900</v>
      </c>
      <c r="E152" t="s">
        <v>27</v>
      </c>
      <c r="F152" t="s">
        <v>28</v>
      </c>
      <c r="G152" s="14">
        <v>259900</v>
      </c>
      <c r="H152" s="14">
        <v>112100</v>
      </c>
      <c r="I152" s="19">
        <f t="shared" si="8"/>
        <v>43.1319738360908</v>
      </c>
      <c r="J152" s="14">
        <v>224221</v>
      </c>
      <c r="K152" s="14">
        <f>G152-163221</f>
        <v>96679</v>
      </c>
      <c r="L152" s="14">
        <v>61000</v>
      </c>
      <c r="M152" s="29">
        <v>0</v>
      </c>
      <c r="N152" s="33">
        <v>0</v>
      </c>
      <c r="O152" s="38">
        <v>0.46</v>
      </c>
      <c r="P152" s="38">
        <v>0.46</v>
      </c>
      <c r="Q152" s="14" t="e">
        <f t="shared" si="9"/>
        <v>#DIV/0!</v>
      </c>
      <c r="R152" s="14">
        <f t="shared" si="10"/>
        <v>210171.73913043478</v>
      </c>
      <c r="S152" s="43">
        <f t="shared" si="11"/>
        <v>4.82487922705314</v>
      </c>
      <c r="T152" s="38">
        <v>0</v>
      </c>
      <c r="U152" s="5" t="s">
        <v>347</v>
      </c>
      <c r="V152" t="s">
        <v>724</v>
      </c>
      <c r="X152" t="s">
        <v>350</v>
      </c>
      <c r="Y152" s="6" t="s">
        <v>32</v>
      </c>
    </row>
    <row r="153" spans="1:25" x14ac:dyDescent="0.25">
      <c r="A153" t="s">
        <v>345</v>
      </c>
      <c r="B153" t="s">
        <v>346</v>
      </c>
      <c r="C153" s="24">
        <v>44757</v>
      </c>
      <c r="D153" s="14">
        <v>440000</v>
      </c>
      <c r="E153" t="s">
        <v>27</v>
      </c>
      <c r="F153" t="s">
        <v>42</v>
      </c>
      <c r="G153" s="14">
        <v>440000</v>
      </c>
      <c r="H153" s="14">
        <v>192000</v>
      </c>
      <c r="I153" s="19">
        <f t="shared" si="8"/>
        <v>43.636363636363633</v>
      </c>
      <c r="J153" s="14">
        <v>412073</v>
      </c>
      <c r="K153" s="14">
        <f>G153-311753</f>
        <v>128247</v>
      </c>
      <c r="L153" s="14">
        <v>72160</v>
      </c>
      <c r="M153" s="29">
        <v>0</v>
      </c>
      <c r="N153" s="33">
        <v>0</v>
      </c>
      <c r="O153" s="38">
        <v>0.44</v>
      </c>
      <c r="P153" s="38">
        <v>0</v>
      </c>
      <c r="Q153" s="14" t="e">
        <f t="shared" si="9"/>
        <v>#DIV/0!</v>
      </c>
      <c r="R153" s="14">
        <f t="shared" si="10"/>
        <v>291470.45454545453</v>
      </c>
      <c r="S153" s="43">
        <f t="shared" si="11"/>
        <v>6.6912409216128221</v>
      </c>
      <c r="T153" s="38">
        <v>0</v>
      </c>
      <c r="U153" s="5" t="s">
        <v>347</v>
      </c>
      <c r="V153" t="s">
        <v>348</v>
      </c>
      <c r="W153" t="s">
        <v>349</v>
      </c>
      <c r="X153" t="s">
        <v>350</v>
      </c>
      <c r="Y153" s="6" t="s">
        <v>32</v>
      </c>
    </row>
    <row r="154" spans="1:25" x14ac:dyDescent="0.25">
      <c r="A154" t="s">
        <v>380</v>
      </c>
      <c r="B154" t="s">
        <v>381</v>
      </c>
      <c r="C154" s="24">
        <v>44715</v>
      </c>
      <c r="D154" s="14">
        <v>321000</v>
      </c>
      <c r="E154" t="s">
        <v>27</v>
      </c>
      <c r="F154" t="s">
        <v>28</v>
      </c>
      <c r="G154" s="14">
        <v>321000</v>
      </c>
      <c r="H154" s="14">
        <v>141500</v>
      </c>
      <c r="I154" s="19">
        <f t="shared" si="8"/>
        <v>44.0809968847352</v>
      </c>
      <c r="J154" s="14">
        <v>282940</v>
      </c>
      <c r="K154" s="14">
        <f>G154-244940</f>
        <v>76060</v>
      </c>
      <c r="L154" s="14">
        <v>38000</v>
      </c>
      <c r="M154" s="29">
        <v>0</v>
      </c>
      <c r="N154" s="33">
        <v>0</v>
      </c>
      <c r="O154" s="38">
        <v>0.4</v>
      </c>
      <c r="P154" s="38">
        <v>0.4</v>
      </c>
      <c r="Q154" s="14" t="e">
        <f t="shared" si="9"/>
        <v>#DIV/0!</v>
      </c>
      <c r="R154" s="14">
        <f t="shared" si="10"/>
        <v>190150</v>
      </c>
      <c r="S154" s="43">
        <f t="shared" si="11"/>
        <v>4.3652433425160702</v>
      </c>
      <c r="T154" s="38">
        <v>0</v>
      </c>
      <c r="U154" s="5" t="s">
        <v>347</v>
      </c>
      <c r="V154" t="s">
        <v>383</v>
      </c>
      <c r="X154" t="s">
        <v>350</v>
      </c>
      <c r="Y154" s="6" t="s">
        <v>32</v>
      </c>
    </row>
    <row r="155" spans="1:25" x14ac:dyDescent="0.25">
      <c r="A155" t="s">
        <v>368</v>
      </c>
      <c r="B155" t="s">
        <v>369</v>
      </c>
      <c r="C155" s="24">
        <v>45163</v>
      </c>
      <c r="D155" s="14">
        <v>295000</v>
      </c>
      <c r="E155" t="s">
        <v>27</v>
      </c>
      <c r="F155" t="s">
        <v>28</v>
      </c>
      <c r="G155" s="14">
        <v>295000</v>
      </c>
      <c r="H155" s="14">
        <v>130800</v>
      </c>
      <c r="I155" s="19">
        <f t="shared" si="8"/>
        <v>44.33898305084746</v>
      </c>
      <c r="J155" s="14">
        <v>261626</v>
      </c>
      <c r="K155" s="14">
        <f>G155-223626</f>
        <v>71374</v>
      </c>
      <c r="L155" s="14">
        <v>38000</v>
      </c>
      <c r="M155" s="29">
        <v>0</v>
      </c>
      <c r="N155" s="33">
        <v>0</v>
      </c>
      <c r="O155" s="38">
        <v>0.34</v>
      </c>
      <c r="P155" s="38">
        <v>0.34</v>
      </c>
      <c r="Q155" s="14" t="e">
        <f t="shared" si="9"/>
        <v>#DIV/0!</v>
      </c>
      <c r="R155" s="14">
        <f t="shared" si="10"/>
        <v>209923.5294117647</v>
      </c>
      <c r="S155" s="43">
        <f t="shared" si="11"/>
        <v>4.8191811159725599</v>
      </c>
      <c r="T155" s="38">
        <v>0</v>
      </c>
      <c r="U155" s="5" t="s">
        <v>347</v>
      </c>
      <c r="V155" t="s">
        <v>370</v>
      </c>
      <c r="X155" t="s">
        <v>350</v>
      </c>
      <c r="Y155" s="6" t="s">
        <v>32</v>
      </c>
    </row>
    <row r="156" spans="1:25" x14ac:dyDescent="0.25">
      <c r="A156" t="s">
        <v>496</v>
      </c>
      <c r="B156" t="s">
        <v>497</v>
      </c>
      <c r="C156" s="24">
        <v>44847</v>
      </c>
      <c r="D156" s="14">
        <v>260000</v>
      </c>
      <c r="E156" t="s">
        <v>27</v>
      </c>
      <c r="F156" t="s">
        <v>28</v>
      </c>
      <c r="G156" s="14">
        <v>260000</v>
      </c>
      <c r="H156" s="14">
        <v>115300</v>
      </c>
      <c r="I156" s="19">
        <f t="shared" si="8"/>
        <v>44.346153846153847</v>
      </c>
      <c r="J156" s="14">
        <v>230576</v>
      </c>
      <c r="K156" s="14">
        <f>G156-188576</f>
        <v>71424</v>
      </c>
      <c r="L156" s="14">
        <v>42000</v>
      </c>
      <c r="M156" s="29">
        <v>0</v>
      </c>
      <c r="N156" s="33">
        <v>0</v>
      </c>
      <c r="O156" s="38">
        <v>0</v>
      </c>
      <c r="P156" s="38">
        <v>0</v>
      </c>
      <c r="Q156" s="14" t="e">
        <f t="shared" si="9"/>
        <v>#DIV/0!</v>
      </c>
      <c r="R156" s="14" t="e">
        <f t="shared" si="10"/>
        <v>#DIV/0!</v>
      </c>
      <c r="S156" s="43" t="e">
        <f t="shared" si="11"/>
        <v>#DIV/0!</v>
      </c>
      <c r="T156" s="38">
        <v>0</v>
      </c>
      <c r="U156" s="5" t="s">
        <v>347</v>
      </c>
      <c r="V156" t="s">
        <v>498</v>
      </c>
      <c r="X156" t="s">
        <v>350</v>
      </c>
      <c r="Y156" s="6" t="s">
        <v>32</v>
      </c>
    </row>
    <row r="157" spans="1:25" x14ac:dyDescent="0.25">
      <c r="A157" t="s">
        <v>582</v>
      </c>
      <c r="B157" t="s">
        <v>583</v>
      </c>
      <c r="C157" s="24">
        <v>44795</v>
      </c>
      <c r="D157" s="14">
        <v>250000</v>
      </c>
      <c r="E157" t="s">
        <v>27</v>
      </c>
      <c r="F157" t="s">
        <v>28</v>
      </c>
      <c r="G157" s="14">
        <v>250000</v>
      </c>
      <c r="H157" s="14">
        <v>111000</v>
      </c>
      <c r="I157" s="19">
        <f t="shared" si="8"/>
        <v>44.4</v>
      </c>
      <c r="J157" s="14">
        <v>221999</v>
      </c>
      <c r="K157" s="14">
        <f>G157-156999</f>
        <v>93001</v>
      </c>
      <c r="L157" s="14">
        <v>65000</v>
      </c>
      <c r="M157" s="29">
        <v>0</v>
      </c>
      <c r="N157" s="33">
        <v>0</v>
      </c>
      <c r="O157" s="38">
        <v>0.36</v>
      </c>
      <c r="P157" s="38">
        <v>0.36</v>
      </c>
      <c r="Q157" s="14" t="e">
        <f t="shared" si="9"/>
        <v>#DIV/0!</v>
      </c>
      <c r="R157" s="14">
        <f t="shared" si="10"/>
        <v>258336.11111111112</v>
      </c>
      <c r="S157" s="43">
        <f t="shared" si="11"/>
        <v>5.9305810631568212</v>
      </c>
      <c r="T157" s="38">
        <v>0</v>
      </c>
      <c r="U157" s="5" t="s">
        <v>347</v>
      </c>
      <c r="V157" t="s">
        <v>584</v>
      </c>
      <c r="X157" t="s">
        <v>350</v>
      </c>
      <c r="Y157" s="6" t="s">
        <v>32</v>
      </c>
    </row>
    <row r="158" spans="1:25" x14ac:dyDescent="0.25">
      <c r="A158" t="s">
        <v>754</v>
      </c>
      <c r="B158" t="s">
        <v>755</v>
      </c>
      <c r="C158" s="24">
        <v>44631</v>
      </c>
      <c r="D158" s="14">
        <v>351500</v>
      </c>
      <c r="E158" t="s">
        <v>27</v>
      </c>
      <c r="F158" t="s">
        <v>28</v>
      </c>
      <c r="G158" s="14">
        <v>351500</v>
      </c>
      <c r="H158" s="14">
        <v>156700</v>
      </c>
      <c r="I158" s="19">
        <f t="shared" si="8"/>
        <v>44.580369843527741</v>
      </c>
      <c r="J158" s="14">
        <v>313428</v>
      </c>
      <c r="K158" s="14">
        <f>G158-252428</f>
        <v>99072</v>
      </c>
      <c r="L158" s="14">
        <v>61000</v>
      </c>
      <c r="M158" s="29">
        <v>0</v>
      </c>
      <c r="N158" s="33">
        <v>0</v>
      </c>
      <c r="O158" s="38">
        <v>1.2</v>
      </c>
      <c r="P158" s="38">
        <v>1.2</v>
      </c>
      <c r="Q158" s="14" t="e">
        <f t="shared" si="9"/>
        <v>#DIV/0!</v>
      </c>
      <c r="R158" s="14">
        <f t="shared" si="10"/>
        <v>82560</v>
      </c>
      <c r="S158" s="43">
        <f t="shared" si="11"/>
        <v>1.8953168044077136</v>
      </c>
      <c r="T158" s="38">
        <v>0</v>
      </c>
      <c r="U158" s="5" t="s">
        <v>347</v>
      </c>
      <c r="V158" t="s">
        <v>756</v>
      </c>
      <c r="X158" t="s">
        <v>350</v>
      </c>
      <c r="Y158" s="6" t="s">
        <v>32</v>
      </c>
    </row>
    <row r="159" spans="1:25" x14ac:dyDescent="0.25">
      <c r="A159" t="s">
        <v>726</v>
      </c>
      <c r="B159" t="s">
        <v>727</v>
      </c>
      <c r="C159" s="24">
        <v>45114</v>
      </c>
      <c r="D159" s="14">
        <v>240000</v>
      </c>
      <c r="E159" t="s">
        <v>27</v>
      </c>
      <c r="F159" t="s">
        <v>28</v>
      </c>
      <c r="G159" s="14">
        <v>240000</v>
      </c>
      <c r="H159" s="14">
        <v>107000</v>
      </c>
      <c r="I159" s="19">
        <f t="shared" si="8"/>
        <v>44.583333333333336</v>
      </c>
      <c r="J159" s="14">
        <v>214056</v>
      </c>
      <c r="K159" s="14">
        <f>G159-153056</f>
        <v>86944</v>
      </c>
      <c r="L159" s="14">
        <v>61000</v>
      </c>
      <c r="M159" s="29">
        <v>0</v>
      </c>
      <c r="N159" s="33">
        <v>0</v>
      </c>
      <c r="O159" s="38">
        <v>0.47</v>
      </c>
      <c r="P159" s="38">
        <v>0.47</v>
      </c>
      <c r="Q159" s="14" t="e">
        <f t="shared" si="9"/>
        <v>#DIV/0!</v>
      </c>
      <c r="R159" s="14">
        <f t="shared" si="10"/>
        <v>184987.2340425532</v>
      </c>
      <c r="S159" s="43">
        <f t="shared" si="11"/>
        <v>4.2467225445948849</v>
      </c>
      <c r="T159" s="38">
        <v>0</v>
      </c>
      <c r="U159" s="5" t="s">
        <v>347</v>
      </c>
      <c r="V159" t="s">
        <v>728</v>
      </c>
      <c r="X159" t="s">
        <v>350</v>
      </c>
      <c r="Y159" s="6" t="s">
        <v>32</v>
      </c>
    </row>
    <row r="160" spans="1:25" x14ac:dyDescent="0.25">
      <c r="A160" t="s">
        <v>449</v>
      </c>
      <c r="B160" t="s">
        <v>450</v>
      </c>
      <c r="C160" s="24">
        <v>44522</v>
      </c>
      <c r="D160" s="14">
        <v>272000</v>
      </c>
      <c r="E160" t="s">
        <v>27</v>
      </c>
      <c r="F160" t="s">
        <v>28</v>
      </c>
      <c r="G160" s="14">
        <v>272000</v>
      </c>
      <c r="H160" s="14">
        <v>122600</v>
      </c>
      <c r="I160" s="19">
        <f t="shared" si="8"/>
        <v>45.07352941176471</v>
      </c>
      <c r="J160" s="14">
        <v>245138</v>
      </c>
      <c r="K160" s="14">
        <f>G160-199138</f>
        <v>72862</v>
      </c>
      <c r="L160" s="14">
        <v>46000</v>
      </c>
      <c r="M160" s="29">
        <v>0</v>
      </c>
      <c r="N160" s="33">
        <v>0</v>
      </c>
      <c r="O160" s="38">
        <v>0.56000000000000005</v>
      </c>
      <c r="P160" s="38">
        <v>0.56000000000000005</v>
      </c>
      <c r="Q160" s="14" t="e">
        <f t="shared" si="9"/>
        <v>#DIV/0!</v>
      </c>
      <c r="R160" s="14">
        <f t="shared" si="10"/>
        <v>130110.71428571428</v>
      </c>
      <c r="S160" s="43">
        <f t="shared" si="11"/>
        <v>2.9869309982946346</v>
      </c>
      <c r="T160" s="38">
        <v>0</v>
      </c>
      <c r="U160" s="5" t="s">
        <v>347</v>
      </c>
      <c r="V160" t="s">
        <v>451</v>
      </c>
      <c r="X160" t="s">
        <v>350</v>
      </c>
      <c r="Y160" s="6" t="s">
        <v>32</v>
      </c>
    </row>
    <row r="161" spans="1:25" x14ac:dyDescent="0.25">
      <c r="A161" t="s">
        <v>729</v>
      </c>
      <c r="B161" t="s">
        <v>730</v>
      </c>
      <c r="C161" s="24">
        <v>44804</v>
      </c>
      <c r="D161" s="14">
        <v>269000</v>
      </c>
      <c r="E161" t="s">
        <v>620</v>
      </c>
      <c r="F161" t="s">
        <v>28</v>
      </c>
      <c r="G161" s="14">
        <v>269000</v>
      </c>
      <c r="H161" s="14">
        <v>121900</v>
      </c>
      <c r="I161" s="19">
        <f t="shared" si="8"/>
        <v>45.315985130111528</v>
      </c>
      <c r="J161" s="14">
        <v>243875</v>
      </c>
      <c r="K161" s="14">
        <f>G161-182875</f>
        <v>86125</v>
      </c>
      <c r="L161" s="14">
        <v>61000</v>
      </c>
      <c r="M161" s="29">
        <v>0</v>
      </c>
      <c r="N161" s="33">
        <v>0</v>
      </c>
      <c r="O161" s="38">
        <v>0.49</v>
      </c>
      <c r="P161" s="38">
        <v>0.49</v>
      </c>
      <c r="Q161" s="14" t="e">
        <f t="shared" si="9"/>
        <v>#DIV/0!</v>
      </c>
      <c r="R161" s="14">
        <f t="shared" si="10"/>
        <v>175765.30612244899</v>
      </c>
      <c r="S161" s="43">
        <f t="shared" si="11"/>
        <v>4.0350162103408858</v>
      </c>
      <c r="T161" s="38">
        <v>0</v>
      </c>
      <c r="U161" s="5" t="s">
        <v>347</v>
      </c>
      <c r="V161" t="s">
        <v>731</v>
      </c>
      <c r="X161" t="s">
        <v>350</v>
      </c>
      <c r="Y161" s="6" t="s">
        <v>32</v>
      </c>
    </row>
    <row r="162" spans="1:25" x14ac:dyDescent="0.25">
      <c r="A162" t="s">
        <v>351</v>
      </c>
      <c r="B162" t="s">
        <v>352</v>
      </c>
      <c r="C162" s="24">
        <v>45180</v>
      </c>
      <c r="D162" s="14">
        <v>439900</v>
      </c>
      <c r="E162" t="s">
        <v>27</v>
      </c>
      <c r="F162" t="s">
        <v>28</v>
      </c>
      <c r="G162" s="14">
        <v>439900</v>
      </c>
      <c r="H162" s="14">
        <v>200100</v>
      </c>
      <c r="I162" s="19">
        <f t="shared" si="8"/>
        <v>45.487610820641052</v>
      </c>
      <c r="J162" s="14">
        <v>400215</v>
      </c>
      <c r="K162" s="14">
        <f>G162-356215</f>
        <v>83685</v>
      </c>
      <c r="L162" s="14">
        <v>44000</v>
      </c>
      <c r="M162" s="29">
        <v>0</v>
      </c>
      <c r="N162" s="33">
        <v>0</v>
      </c>
      <c r="O162" s="38">
        <v>0</v>
      </c>
      <c r="P162" s="38">
        <v>0</v>
      </c>
      <c r="Q162" s="14" t="e">
        <f t="shared" si="9"/>
        <v>#DIV/0!</v>
      </c>
      <c r="R162" s="14" t="e">
        <f t="shared" si="10"/>
        <v>#DIV/0!</v>
      </c>
      <c r="S162" s="43" t="e">
        <f t="shared" si="11"/>
        <v>#DIV/0!</v>
      </c>
      <c r="T162" s="38">
        <v>0</v>
      </c>
      <c r="U162" s="5" t="s">
        <v>347</v>
      </c>
      <c r="V162" t="s">
        <v>353</v>
      </c>
      <c r="X162" t="s">
        <v>350</v>
      </c>
      <c r="Y162" s="6" t="s">
        <v>32</v>
      </c>
    </row>
    <row r="163" spans="1:25" x14ac:dyDescent="0.25">
      <c r="A163" t="s">
        <v>490</v>
      </c>
      <c r="B163" t="s">
        <v>491</v>
      </c>
      <c r="C163" s="24">
        <v>44722</v>
      </c>
      <c r="D163" s="14">
        <v>271500</v>
      </c>
      <c r="E163" t="s">
        <v>27</v>
      </c>
      <c r="F163" t="s">
        <v>28</v>
      </c>
      <c r="G163" s="14">
        <v>271500</v>
      </c>
      <c r="H163" s="14">
        <v>123900</v>
      </c>
      <c r="I163" s="19">
        <f t="shared" si="8"/>
        <v>45.635359116022101</v>
      </c>
      <c r="J163" s="14">
        <v>247851</v>
      </c>
      <c r="K163" s="14">
        <f>G163-205851</f>
        <v>65649</v>
      </c>
      <c r="L163" s="14">
        <v>42000</v>
      </c>
      <c r="M163" s="29">
        <v>0</v>
      </c>
      <c r="N163" s="33">
        <v>0</v>
      </c>
      <c r="O163" s="38">
        <v>0</v>
      </c>
      <c r="P163" s="38">
        <v>0</v>
      </c>
      <c r="Q163" s="14" t="e">
        <f t="shared" si="9"/>
        <v>#DIV/0!</v>
      </c>
      <c r="R163" s="14" t="e">
        <f t="shared" si="10"/>
        <v>#DIV/0!</v>
      </c>
      <c r="S163" s="43" t="e">
        <f t="shared" si="11"/>
        <v>#DIV/0!</v>
      </c>
      <c r="T163" s="38">
        <v>0</v>
      </c>
      <c r="U163" s="5" t="s">
        <v>347</v>
      </c>
      <c r="V163" t="s">
        <v>492</v>
      </c>
      <c r="X163" t="s">
        <v>350</v>
      </c>
      <c r="Y163" s="6" t="s">
        <v>32</v>
      </c>
    </row>
    <row r="164" spans="1:25" x14ac:dyDescent="0.25">
      <c r="A164" t="s">
        <v>607</v>
      </c>
      <c r="B164" t="s">
        <v>608</v>
      </c>
      <c r="C164" s="24">
        <v>44460</v>
      </c>
      <c r="D164" s="14">
        <v>210000</v>
      </c>
      <c r="E164" t="s">
        <v>27</v>
      </c>
      <c r="F164" t="s">
        <v>28</v>
      </c>
      <c r="G164" s="14">
        <v>210000</v>
      </c>
      <c r="H164" s="14">
        <v>98200</v>
      </c>
      <c r="I164" s="19">
        <f t="shared" si="8"/>
        <v>46.761904761904759</v>
      </c>
      <c r="J164" s="14">
        <v>196433</v>
      </c>
      <c r="K164" s="14">
        <f>G164-131433</f>
        <v>78567</v>
      </c>
      <c r="L164" s="14">
        <v>65000</v>
      </c>
      <c r="M164" s="29">
        <v>0</v>
      </c>
      <c r="N164" s="33">
        <v>0</v>
      </c>
      <c r="O164" s="38">
        <v>0.36</v>
      </c>
      <c r="P164" s="38">
        <v>0.36</v>
      </c>
      <c r="Q164" s="14" t="e">
        <f t="shared" si="9"/>
        <v>#DIV/0!</v>
      </c>
      <c r="R164" s="14">
        <f t="shared" si="10"/>
        <v>218241.66666666669</v>
      </c>
      <c r="S164" s="43">
        <f t="shared" si="11"/>
        <v>5.0101392715029087</v>
      </c>
      <c r="T164" s="38">
        <v>0</v>
      </c>
      <c r="U164" s="5" t="s">
        <v>347</v>
      </c>
      <c r="V164" t="s">
        <v>609</v>
      </c>
      <c r="X164" t="s">
        <v>350</v>
      </c>
      <c r="Y164" s="6" t="s">
        <v>32</v>
      </c>
    </row>
    <row r="165" spans="1:25" x14ac:dyDescent="0.25">
      <c r="A165" t="s">
        <v>502</v>
      </c>
      <c r="B165" t="s">
        <v>503</v>
      </c>
      <c r="C165" s="24">
        <v>44991</v>
      </c>
      <c r="D165" s="14">
        <v>250000</v>
      </c>
      <c r="E165" t="s">
        <v>27</v>
      </c>
      <c r="F165" t="s">
        <v>28</v>
      </c>
      <c r="G165" s="14">
        <v>250000</v>
      </c>
      <c r="H165" s="14">
        <v>120000</v>
      </c>
      <c r="I165" s="19">
        <f t="shared" si="8"/>
        <v>48</v>
      </c>
      <c r="J165" s="14">
        <v>239991</v>
      </c>
      <c r="K165" s="14">
        <f>G165-197991</f>
        <v>52009</v>
      </c>
      <c r="L165" s="14">
        <v>42000</v>
      </c>
      <c r="M165" s="29">
        <v>0</v>
      </c>
      <c r="N165" s="33">
        <v>0</v>
      </c>
      <c r="O165" s="38">
        <v>0</v>
      </c>
      <c r="P165" s="38">
        <v>0</v>
      </c>
      <c r="Q165" s="14" t="e">
        <f t="shared" si="9"/>
        <v>#DIV/0!</v>
      </c>
      <c r="R165" s="14" t="e">
        <f t="shared" si="10"/>
        <v>#DIV/0!</v>
      </c>
      <c r="S165" s="43" t="e">
        <f t="shared" si="11"/>
        <v>#DIV/0!</v>
      </c>
      <c r="T165" s="38">
        <v>0</v>
      </c>
      <c r="U165" s="5" t="s">
        <v>347</v>
      </c>
      <c r="V165" t="s">
        <v>504</v>
      </c>
      <c r="X165" t="s">
        <v>350</v>
      </c>
      <c r="Y165" s="6" t="s">
        <v>32</v>
      </c>
    </row>
    <row r="166" spans="1:25" x14ac:dyDescent="0.25">
      <c r="A166" t="s">
        <v>604</v>
      </c>
      <c r="B166" t="s">
        <v>605</v>
      </c>
      <c r="C166" s="24">
        <v>44326</v>
      </c>
      <c r="D166" s="14">
        <v>201000</v>
      </c>
      <c r="E166" t="s">
        <v>27</v>
      </c>
      <c r="F166" t="s">
        <v>28</v>
      </c>
      <c r="G166" s="14">
        <v>201000</v>
      </c>
      <c r="H166" s="14">
        <v>97300</v>
      </c>
      <c r="I166" s="19">
        <f t="shared" si="8"/>
        <v>48.407960199004975</v>
      </c>
      <c r="J166" s="14">
        <v>194545</v>
      </c>
      <c r="K166" s="14">
        <f>G166-129545</f>
        <v>71455</v>
      </c>
      <c r="L166" s="14">
        <v>65000</v>
      </c>
      <c r="M166" s="29">
        <v>0</v>
      </c>
      <c r="N166" s="33">
        <v>0</v>
      </c>
      <c r="O166" s="38">
        <v>0.3</v>
      </c>
      <c r="P166" s="38">
        <v>0.3</v>
      </c>
      <c r="Q166" s="14" t="e">
        <f t="shared" si="9"/>
        <v>#DIV/0!</v>
      </c>
      <c r="R166" s="14">
        <f t="shared" si="10"/>
        <v>238183.33333333334</v>
      </c>
      <c r="S166" s="43">
        <f t="shared" si="11"/>
        <v>5.4679369452096731</v>
      </c>
      <c r="T166" s="38">
        <v>0</v>
      </c>
      <c r="U166" s="5" t="s">
        <v>347</v>
      </c>
      <c r="V166" t="s">
        <v>606</v>
      </c>
      <c r="X166" t="s">
        <v>350</v>
      </c>
      <c r="Y166" s="6" t="s">
        <v>32</v>
      </c>
    </row>
    <row r="167" spans="1:25" x14ac:dyDescent="0.25">
      <c r="A167" t="s">
        <v>465</v>
      </c>
      <c r="B167" t="s">
        <v>466</v>
      </c>
      <c r="C167" s="24">
        <v>45022</v>
      </c>
      <c r="D167" s="14">
        <v>243400</v>
      </c>
      <c r="E167" t="s">
        <v>27</v>
      </c>
      <c r="F167" t="s">
        <v>28</v>
      </c>
      <c r="G167" s="14">
        <v>243400</v>
      </c>
      <c r="H167" s="14">
        <v>118800</v>
      </c>
      <c r="I167" s="19">
        <f t="shared" si="8"/>
        <v>48.808545603944125</v>
      </c>
      <c r="J167" s="14">
        <v>237579</v>
      </c>
      <c r="K167" s="14">
        <f>G167-195579</f>
        <v>47821</v>
      </c>
      <c r="L167" s="14">
        <v>42000</v>
      </c>
      <c r="M167" s="29">
        <v>0</v>
      </c>
      <c r="N167" s="33">
        <v>0</v>
      </c>
      <c r="O167" s="38">
        <v>0.27</v>
      </c>
      <c r="P167" s="38">
        <v>0.27</v>
      </c>
      <c r="Q167" s="14" t="e">
        <f t="shared" si="9"/>
        <v>#DIV/0!</v>
      </c>
      <c r="R167" s="14">
        <f t="shared" si="10"/>
        <v>177114.8148148148</v>
      </c>
      <c r="S167" s="43">
        <f t="shared" si="11"/>
        <v>4.0659966670067673</v>
      </c>
      <c r="T167" s="38">
        <v>0</v>
      </c>
      <c r="U167" s="5" t="s">
        <v>347</v>
      </c>
      <c r="V167" t="s">
        <v>468</v>
      </c>
      <c r="X167" t="s">
        <v>350</v>
      </c>
      <c r="Y167" s="6" t="s">
        <v>32</v>
      </c>
    </row>
    <row r="168" spans="1:25" x14ac:dyDescent="0.25">
      <c r="A168" t="s">
        <v>365</v>
      </c>
      <c r="B168" t="s">
        <v>366</v>
      </c>
      <c r="C168" s="24">
        <v>45016</v>
      </c>
      <c r="D168" s="14">
        <v>267000</v>
      </c>
      <c r="E168" t="s">
        <v>27</v>
      </c>
      <c r="F168" t="s">
        <v>28</v>
      </c>
      <c r="G168" s="14">
        <v>267000</v>
      </c>
      <c r="H168" s="14">
        <v>131200</v>
      </c>
      <c r="I168" s="19">
        <f t="shared" si="8"/>
        <v>49.138576779026216</v>
      </c>
      <c r="J168" s="14">
        <v>262322</v>
      </c>
      <c r="K168" s="14">
        <f>G168-224322</f>
        <v>42678</v>
      </c>
      <c r="L168" s="14">
        <v>38000</v>
      </c>
      <c r="M168" s="29">
        <v>0</v>
      </c>
      <c r="N168" s="33">
        <v>0</v>
      </c>
      <c r="O168" s="38">
        <v>0.34</v>
      </c>
      <c r="P168" s="38">
        <v>0.34</v>
      </c>
      <c r="Q168" s="14" t="e">
        <f t="shared" si="9"/>
        <v>#DIV/0!</v>
      </c>
      <c r="R168" s="14">
        <f t="shared" si="10"/>
        <v>125523.5294117647</v>
      </c>
      <c r="S168" s="43">
        <f t="shared" si="11"/>
        <v>2.8816237238697129</v>
      </c>
      <c r="T168" s="38">
        <v>0</v>
      </c>
      <c r="U168" s="5" t="s">
        <v>347</v>
      </c>
      <c r="V168" t="s">
        <v>367</v>
      </c>
      <c r="X168" t="s">
        <v>350</v>
      </c>
      <c r="Y168" s="6" t="s">
        <v>32</v>
      </c>
    </row>
    <row r="169" spans="1:25" x14ac:dyDescent="0.25">
      <c r="A169" t="s">
        <v>452</v>
      </c>
      <c r="B169" t="s">
        <v>453</v>
      </c>
      <c r="C169" s="24">
        <v>44356</v>
      </c>
      <c r="D169" s="14">
        <v>300000</v>
      </c>
      <c r="E169" t="s">
        <v>27</v>
      </c>
      <c r="F169" t="s">
        <v>28</v>
      </c>
      <c r="G169" s="14">
        <v>300000</v>
      </c>
      <c r="H169" s="14">
        <v>147600</v>
      </c>
      <c r="I169" s="19">
        <f t="shared" si="8"/>
        <v>49.2</v>
      </c>
      <c r="J169" s="14">
        <v>295176</v>
      </c>
      <c r="K169" s="14">
        <f>G169-249176</f>
        <v>50824</v>
      </c>
      <c r="L169" s="14">
        <v>46000</v>
      </c>
      <c r="M169" s="29">
        <v>0</v>
      </c>
      <c r="N169" s="33">
        <v>0</v>
      </c>
      <c r="O169" s="38">
        <v>0</v>
      </c>
      <c r="P169" s="38">
        <v>0</v>
      </c>
      <c r="Q169" s="14" t="e">
        <f t="shared" si="9"/>
        <v>#DIV/0!</v>
      </c>
      <c r="R169" s="14" t="e">
        <f t="shared" si="10"/>
        <v>#DIV/0!</v>
      </c>
      <c r="S169" s="43" t="e">
        <f t="shared" si="11"/>
        <v>#DIV/0!</v>
      </c>
      <c r="T169" s="38">
        <v>0</v>
      </c>
      <c r="U169" s="5" t="s">
        <v>347</v>
      </c>
      <c r="V169" t="s">
        <v>454</v>
      </c>
      <c r="X169" t="s">
        <v>350</v>
      </c>
      <c r="Y169" s="6" t="s">
        <v>32</v>
      </c>
    </row>
    <row r="170" spans="1:25" x14ac:dyDescent="0.25">
      <c r="A170" t="s">
        <v>547</v>
      </c>
      <c r="B170" t="s">
        <v>548</v>
      </c>
      <c r="C170" s="24">
        <v>45106</v>
      </c>
      <c r="D170" s="14">
        <v>365000</v>
      </c>
      <c r="E170" t="s">
        <v>27</v>
      </c>
      <c r="F170" t="s">
        <v>28</v>
      </c>
      <c r="G170" s="14">
        <v>365000</v>
      </c>
      <c r="H170" s="14">
        <v>180100</v>
      </c>
      <c r="I170" s="19">
        <f t="shared" si="8"/>
        <v>49.342465753424655</v>
      </c>
      <c r="J170" s="14">
        <v>360230</v>
      </c>
      <c r="K170" s="14">
        <f>G170-318230</f>
        <v>46770</v>
      </c>
      <c r="L170" s="14">
        <v>42000</v>
      </c>
      <c r="M170" s="29">
        <v>0</v>
      </c>
      <c r="N170" s="33">
        <v>0</v>
      </c>
      <c r="O170" s="38">
        <v>0</v>
      </c>
      <c r="P170" s="38">
        <v>0</v>
      </c>
      <c r="Q170" s="14" t="e">
        <f t="shared" si="9"/>
        <v>#DIV/0!</v>
      </c>
      <c r="R170" s="14" t="e">
        <f t="shared" si="10"/>
        <v>#DIV/0!</v>
      </c>
      <c r="S170" s="43" t="e">
        <f t="shared" si="11"/>
        <v>#DIV/0!</v>
      </c>
      <c r="T170" s="38">
        <v>0</v>
      </c>
      <c r="U170" s="5" t="s">
        <v>347</v>
      </c>
      <c r="V170" t="s">
        <v>549</v>
      </c>
      <c r="X170" t="s">
        <v>350</v>
      </c>
      <c r="Y170" s="6" t="s">
        <v>32</v>
      </c>
    </row>
    <row r="171" spans="1:25" x14ac:dyDescent="0.25">
      <c r="A171" t="s">
        <v>469</v>
      </c>
      <c r="B171" t="s">
        <v>470</v>
      </c>
      <c r="C171" s="24">
        <v>44558</v>
      </c>
      <c r="D171" s="14">
        <v>250000</v>
      </c>
      <c r="E171" t="s">
        <v>27</v>
      </c>
      <c r="F171" t="s">
        <v>28</v>
      </c>
      <c r="G171" s="14">
        <v>250000</v>
      </c>
      <c r="H171" s="14">
        <v>124200</v>
      </c>
      <c r="I171" s="19">
        <f t="shared" si="8"/>
        <v>49.68</v>
      </c>
      <c r="J171" s="14">
        <v>248310</v>
      </c>
      <c r="K171" s="14">
        <f>G171-206310</f>
        <v>43690</v>
      </c>
      <c r="L171" s="14">
        <v>42000</v>
      </c>
      <c r="M171" s="29">
        <v>0</v>
      </c>
      <c r="N171" s="33">
        <v>0</v>
      </c>
      <c r="O171" s="38">
        <v>0</v>
      </c>
      <c r="P171" s="38">
        <v>0</v>
      </c>
      <c r="Q171" s="14" t="e">
        <f t="shared" si="9"/>
        <v>#DIV/0!</v>
      </c>
      <c r="R171" s="14" t="e">
        <f t="shared" si="10"/>
        <v>#DIV/0!</v>
      </c>
      <c r="S171" s="43" t="e">
        <f t="shared" si="11"/>
        <v>#DIV/0!</v>
      </c>
      <c r="T171" s="38">
        <v>0</v>
      </c>
      <c r="U171" s="5" t="s">
        <v>347</v>
      </c>
      <c r="V171" t="s">
        <v>471</v>
      </c>
      <c r="X171" t="s">
        <v>350</v>
      </c>
      <c r="Y171" s="6" t="s">
        <v>32</v>
      </c>
    </row>
    <row r="172" spans="1:25" x14ac:dyDescent="0.25">
      <c r="A172" t="s">
        <v>598</v>
      </c>
      <c r="B172" t="s">
        <v>599</v>
      </c>
      <c r="C172" s="24">
        <v>44463</v>
      </c>
      <c r="D172" s="14">
        <v>196000</v>
      </c>
      <c r="E172" t="s">
        <v>27</v>
      </c>
      <c r="F172" t="s">
        <v>28</v>
      </c>
      <c r="G172" s="14">
        <v>196000</v>
      </c>
      <c r="H172" s="14">
        <v>97400</v>
      </c>
      <c r="I172" s="19">
        <f t="shared" si="8"/>
        <v>49.693877551020407</v>
      </c>
      <c r="J172" s="14">
        <v>194846</v>
      </c>
      <c r="K172" s="14">
        <f>G172-129846</f>
        <v>66154</v>
      </c>
      <c r="L172" s="14">
        <v>65000</v>
      </c>
      <c r="M172" s="29">
        <v>0</v>
      </c>
      <c r="N172" s="33">
        <v>0</v>
      </c>
      <c r="O172" s="38">
        <v>0.35</v>
      </c>
      <c r="P172" s="38">
        <v>0.35</v>
      </c>
      <c r="Q172" s="14" t="e">
        <f t="shared" si="9"/>
        <v>#DIV/0!</v>
      </c>
      <c r="R172" s="14">
        <f t="shared" si="10"/>
        <v>189011.42857142858</v>
      </c>
      <c r="S172" s="43">
        <f t="shared" si="11"/>
        <v>4.3391053391053394</v>
      </c>
      <c r="T172" s="38">
        <v>0</v>
      </c>
      <c r="U172" s="5" t="s">
        <v>347</v>
      </c>
      <c r="V172" t="s">
        <v>600</v>
      </c>
      <c r="X172" t="s">
        <v>350</v>
      </c>
      <c r="Y172" s="6" t="s">
        <v>32</v>
      </c>
    </row>
    <row r="173" spans="1:25" x14ac:dyDescent="0.25">
      <c r="A173" t="s">
        <v>601</v>
      </c>
      <c r="B173" t="s">
        <v>602</v>
      </c>
      <c r="C173" s="24">
        <v>44313</v>
      </c>
      <c r="D173" s="14">
        <v>189000</v>
      </c>
      <c r="E173" t="s">
        <v>27</v>
      </c>
      <c r="F173" t="s">
        <v>28</v>
      </c>
      <c r="G173" s="14">
        <v>189000</v>
      </c>
      <c r="H173" s="14">
        <v>94000</v>
      </c>
      <c r="I173" s="19">
        <f t="shared" si="8"/>
        <v>49.735449735449734</v>
      </c>
      <c r="J173" s="14">
        <v>187948</v>
      </c>
      <c r="K173" s="14">
        <f>G173-122948</f>
        <v>66052</v>
      </c>
      <c r="L173" s="14">
        <v>65000</v>
      </c>
      <c r="M173" s="29">
        <v>0</v>
      </c>
      <c r="N173" s="33">
        <v>0</v>
      </c>
      <c r="O173" s="38">
        <v>0.35</v>
      </c>
      <c r="P173" s="38">
        <v>0.35</v>
      </c>
      <c r="Q173" s="14" t="e">
        <f t="shared" si="9"/>
        <v>#DIV/0!</v>
      </c>
      <c r="R173" s="14">
        <f t="shared" si="10"/>
        <v>188720</v>
      </c>
      <c r="S173" s="43">
        <f t="shared" si="11"/>
        <v>4.3324150596877873</v>
      </c>
      <c r="T173" s="38">
        <v>0</v>
      </c>
      <c r="U173" s="5" t="s">
        <v>347</v>
      </c>
      <c r="V173" t="s">
        <v>603</v>
      </c>
      <c r="X173" t="s">
        <v>350</v>
      </c>
      <c r="Y173" s="6" t="s">
        <v>32</v>
      </c>
    </row>
    <row r="174" spans="1:25" x14ac:dyDescent="0.25">
      <c r="A174" t="s">
        <v>750</v>
      </c>
      <c r="B174" t="s">
        <v>751</v>
      </c>
      <c r="C174" s="24">
        <v>44981</v>
      </c>
      <c r="D174" s="14">
        <v>390000</v>
      </c>
      <c r="E174" t="s">
        <v>27</v>
      </c>
      <c r="F174" t="s">
        <v>28</v>
      </c>
      <c r="G174" s="14">
        <v>390000</v>
      </c>
      <c r="H174" s="14">
        <v>195700</v>
      </c>
      <c r="I174" s="19">
        <f t="shared" si="8"/>
        <v>50.179487179487182</v>
      </c>
      <c r="J174" s="14">
        <v>391494</v>
      </c>
      <c r="K174" s="14">
        <f>G174-330494</f>
        <v>59506</v>
      </c>
      <c r="L174" s="14">
        <v>61000</v>
      </c>
      <c r="M174" s="29">
        <v>0</v>
      </c>
      <c r="N174" s="33">
        <v>0</v>
      </c>
      <c r="O174" s="38">
        <v>0.84</v>
      </c>
      <c r="P174" s="38">
        <v>0.84</v>
      </c>
      <c r="Q174" s="14" t="e">
        <f t="shared" si="9"/>
        <v>#DIV/0!</v>
      </c>
      <c r="R174" s="14">
        <f t="shared" si="10"/>
        <v>70840.476190476198</v>
      </c>
      <c r="S174" s="43">
        <f t="shared" si="11"/>
        <v>1.62627355809174</v>
      </c>
      <c r="T174" s="38">
        <v>0</v>
      </c>
      <c r="U174" s="5" t="s">
        <v>347</v>
      </c>
      <c r="V174" t="s">
        <v>752</v>
      </c>
      <c r="X174" t="s">
        <v>350</v>
      </c>
      <c r="Y174" s="6" t="s">
        <v>32</v>
      </c>
    </row>
    <row r="175" spans="1:25" x14ac:dyDescent="0.25">
      <c r="A175" t="s">
        <v>750</v>
      </c>
      <c r="B175" t="s">
        <v>751</v>
      </c>
      <c r="C175" s="24">
        <v>45086</v>
      </c>
      <c r="D175" s="14">
        <v>390000</v>
      </c>
      <c r="E175" t="s">
        <v>27</v>
      </c>
      <c r="F175" t="s">
        <v>28</v>
      </c>
      <c r="G175" s="14">
        <v>390000</v>
      </c>
      <c r="H175" s="14">
        <v>195700</v>
      </c>
      <c r="I175" s="19">
        <f t="shared" si="8"/>
        <v>50.179487179487182</v>
      </c>
      <c r="J175" s="14">
        <v>391494</v>
      </c>
      <c r="K175" s="14">
        <f>G175-330494</f>
        <v>59506</v>
      </c>
      <c r="L175" s="14">
        <v>61000</v>
      </c>
      <c r="M175" s="29">
        <v>0</v>
      </c>
      <c r="N175" s="33">
        <v>0</v>
      </c>
      <c r="O175" s="38">
        <v>0.84</v>
      </c>
      <c r="P175" s="38">
        <v>0.84</v>
      </c>
      <c r="Q175" s="14" t="e">
        <f t="shared" si="9"/>
        <v>#DIV/0!</v>
      </c>
      <c r="R175" s="14">
        <f t="shared" si="10"/>
        <v>70840.476190476198</v>
      </c>
      <c r="S175" s="43">
        <f t="shared" si="11"/>
        <v>1.62627355809174</v>
      </c>
      <c r="T175" s="38">
        <v>0</v>
      </c>
      <c r="U175" s="5" t="s">
        <v>347</v>
      </c>
      <c r="V175" t="s">
        <v>753</v>
      </c>
      <c r="X175" t="s">
        <v>350</v>
      </c>
      <c r="Y175" s="6" t="s">
        <v>32</v>
      </c>
    </row>
    <row r="176" spans="1:25" x14ac:dyDescent="0.25">
      <c r="A176" t="s">
        <v>380</v>
      </c>
      <c r="B176" t="s">
        <v>381</v>
      </c>
      <c r="C176" s="24">
        <v>44508</v>
      </c>
      <c r="D176" s="14">
        <v>280500</v>
      </c>
      <c r="E176" t="s">
        <v>27</v>
      </c>
      <c r="F176" t="s">
        <v>28</v>
      </c>
      <c r="G176" s="14">
        <v>280500</v>
      </c>
      <c r="H176" s="14">
        <v>141500</v>
      </c>
      <c r="I176" s="19">
        <f t="shared" si="8"/>
        <v>50.445632798573982</v>
      </c>
      <c r="J176" s="14">
        <v>282940</v>
      </c>
      <c r="K176" s="14">
        <f>G176-244940</f>
        <v>35560</v>
      </c>
      <c r="L176" s="14">
        <v>38000</v>
      </c>
      <c r="M176" s="29">
        <v>0</v>
      </c>
      <c r="N176" s="33">
        <v>0</v>
      </c>
      <c r="O176" s="38">
        <v>0.4</v>
      </c>
      <c r="P176" s="38">
        <v>0.4</v>
      </c>
      <c r="Q176" s="14" t="e">
        <f t="shared" si="9"/>
        <v>#DIV/0!</v>
      </c>
      <c r="R176" s="14">
        <f t="shared" si="10"/>
        <v>88900</v>
      </c>
      <c r="S176" s="43">
        <f t="shared" si="11"/>
        <v>2.0408631772268135</v>
      </c>
      <c r="T176" s="38">
        <v>0</v>
      </c>
      <c r="U176" s="5" t="s">
        <v>347</v>
      </c>
      <c r="V176" t="s">
        <v>382</v>
      </c>
      <c r="X176" t="s">
        <v>350</v>
      </c>
      <c r="Y176" s="6" t="s">
        <v>32</v>
      </c>
    </row>
    <row r="177" spans="1:25" x14ac:dyDescent="0.25">
      <c r="A177" t="s">
        <v>481</v>
      </c>
      <c r="B177" t="s">
        <v>482</v>
      </c>
      <c r="C177" s="24">
        <v>44316</v>
      </c>
      <c r="D177" s="14">
        <v>270000</v>
      </c>
      <c r="E177" t="s">
        <v>27</v>
      </c>
      <c r="F177" t="s">
        <v>28</v>
      </c>
      <c r="G177" s="14">
        <v>270000</v>
      </c>
      <c r="H177" s="14">
        <v>137000</v>
      </c>
      <c r="I177" s="19">
        <f t="shared" si="8"/>
        <v>50.74074074074074</v>
      </c>
      <c r="J177" s="14">
        <v>274099</v>
      </c>
      <c r="K177" s="14">
        <f>G177-232099</f>
        <v>37901</v>
      </c>
      <c r="L177" s="14">
        <v>42000</v>
      </c>
      <c r="M177" s="29">
        <v>0</v>
      </c>
      <c r="N177" s="33">
        <v>0</v>
      </c>
      <c r="O177" s="38">
        <v>0</v>
      </c>
      <c r="P177" s="38">
        <v>0</v>
      </c>
      <c r="Q177" s="14" t="e">
        <f t="shared" si="9"/>
        <v>#DIV/0!</v>
      </c>
      <c r="R177" s="14" t="e">
        <f t="shared" si="10"/>
        <v>#DIV/0!</v>
      </c>
      <c r="S177" s="43" t="e">
        <f t="shared" si="11"/>
        <v>#DIV/0!</v>
      </c>
      <c r="T177" s="38">
        <v>0</v>
      </c>
      <c r="U177" s="5" t="s">
        <v>347</v>
      </c>
      <c r="V177" t="s">
        <v>483</v>
      </c>
      <c r="X177" t="s">
        <v>350</v>
      </c>
      <c r="Y177" s="6" t="s">
        <v>32</v>
      </c>
    </row>
    <row r="178" spans="1:25" x14ac:dyDescent="0.25">
      <c r="A178" t="s">
        <v>508</v>
      </c>
      <c r="B178" t="s">
        <v>509</v>
      </c>
      <c r="C178" s="24">
        <v>44610</v>
      </c>
      <c r="D178" s="14">
        <v>236000</v>
      </c>
      <c r="E178" t="s">
        <v>27</v>
      </c>
      <c r="F178" t="s">
        <v>28</v>
      </c>
      <c r="G178" s="14">
        <v>236000</v>
      </c>
      <c r="H178" s="14">
        <v>119800</v>
      </c>
      <c r="I178" s="19">
        <f t="shared" si="8"/>
        <v>50.762711864406782</v>
      </c>
      <c r="J178" s="14">
        <v>239631</v>
      </c>
      <c r="K178" s="14">
        <f>G178-197631</f>
        <v>38369</v>
      </c>
      <c r="L178" s="14">
        <v>42000</v>
      </c>
      <c r="M178" s="29">
        <v>0</v>
      </c>
      <c r="N178" s="33">
        <v>0</v>
      </c>
      <c r="O178" s="38">
        <v>0</v>
      </c>
      <c r="P178" s="38">
        <v>0</v>
      </c>
      <c r="Q178" s="14" t="e">
        <f t="shared" si="9"/>
        <v>#DIV/0!</v>
      </c>
      <c r="R178" s="14" t="e">
        <f t="shared" si="10"/>
        <v>#DIV/0!</v>
      </c>
      <c r="S178" s="43" t="e">
        <f t="shared" si="11"/>
        <v>#DIV/0!</v>
      </c>
      <c r="T178" s="38">
        <v>0</v>
      </c>
      <c r="U178" s="5" t="s">
        <v>347</v>
      </c>
      <c r="V178" t="s">
        <v>510</v>
      </c>
      <c r="X178" t="s">
        <v>350</v>
      </c>
      <c r="Y178" s="6" t="s">
        <v>32</v>
      </c>
    </row>
    <row r="179" spans="1:25" x14ac:dyDescent="0.25">
      <c r="A179" t="s">
        <v>493</v>
      </c>
      <c r="B179" t="s">
        <v>494</v>
      </c>
      <c r="C179" s="24">
        <v>45069</v>
      </c>
      <c r="D179" s="14">
        <v>300000</v>
      </c>
      <c r="E179" t="s">
        <v>27</v>
      </c>
      <c r="F179" t="s">
        <v>28</v>
      </c>
      <c r="G179" s="14">
        <v>300000</v>
      </c>
      <c r="H179" s="14">
        <v>153600</v>
      </c>
      <c r="I179" s="19">
        <f t="shared" si="8"/>
        <v>51.2</v>
      </c>
      <c r="J179" s="14">
        <v>307222</v>
      </c>
      <c r="K179" s="14">
        <f>G179-265222</f>
        <v>34778</v>
      </c>
      <c r="L179" s="14">
        <v>42000</v>
      </c>
      <c r="M179" s="29">
        <v>0</v>
      </c>
      <c r="N179" s="33">
        <v>0</v>
      </c>
      <c r="O179" s="38">
        <v>0</v>
      </c>
      <c r="P179" s="38">
        <v>0</v>
      </c>
      <c r="Q179" s="14" t="e">
        <f t="shared" si="9"/>
        <v>#DIV/0!</v>
      </c>
      <c r="R179" s="14" t="e">
        <f t="shared" si="10"/>
        <v>#DIV/0!</v>
      </c>
      <c r="S179" s="43" t="e">
        <f t="shared" si="11"/>
        <v>#DIV/0!</v>
      </c>
      <c r="T179" s="38">
        <v>0</v>
      </c>
      <c r="U179" s="5" t="s">
        <v>347</v>
      </c>
      <c r="V179" t="s">
        <v>495</v>
      </c>
      <c r="X179" t="s">
        <v>350</v>
      </c>
      <c r="Y179" s="6" t="s">
        <v>32</v>
      </c>
    </row>
    <row r="180" spans="1:25" x14ac:dyDescent="0.25">
      <c r="A180" t="s">
        <v>461</v>
      </c>
      <c r="B180" t="s">
        <v>462</v>
      </c>
      <c r="C180" s="24">
        <v>44945</v>
      </c>
      <c r="D180" s="14">
        <v>325000</v>
      </c>
      <c r="E180" t="s">
        <v>27</v>
      </c>
      <c r="F180" t="s">
        <v>28</v>
      </c>
      <c r="G180" s="14">
        <v>325000</v>
      </c>
      <c r="H180" s="14">
        <v>166800</v>
      </c>
      <c r="I180" s="19">
        <f t="shared" si="8"/>
        <v>51.323076923076925</v>
      </c>
      <c r="J180" s="14">
        <v>333592</v>
      </c>
      <c r="K180" s="14">
        <f>G180-287592</f>
        <v>37408</v>
      </c>
      <c r="L180" s="14">
        <v>46000</v>
      </c>
      <c r="M180" s="29">
        <v>0</v>
      </c>
      <c r="N180" s="33">
        <v>0</v>
      </c>
      <c r="O180" s="38">
        <v>0.47</v>
      </c>
      <c r="P180" s="38">
        <v>0.47</v>
      </c>
      <c r="Q180" s="14" t="e">
        <f t="shared" si="9"/>
        <v>#DIV/0!</v>
      </c>
      <c r="R180" s="14">
        <f t="shared" si="10"/>
        <v>79591.48936170213</v>
      </c>
      <c r="S180" s="43">
        <f t="shared" si="11"/>
        <v>1.8271691772658891</v>
      </c>
      <c r="T180" s="38">
        <v>0</v>
      </c>
      <c r="U180" s="5" t="s">
        <v>347</v>
      </c>
      <c r="V180" t="s">
        <v>464</v>
      </c>
      <c r="X180" t="s">
        <v>350</v>
      </c>
      <c r="Y180" s="6" t="s">
        <v>32</v>
      </c>
    </row>
    <row r="181" spans="1:25" x14ac:dyDescent="0.25">
      <c r="A181" t="s">
        <v>505</v>
      </c>
      <c r="B181" t="s">
        <v>506</v>
      </c>
      <c r="C181" s="24">
        <v>44740</v>
      </c>
      <c r="D181" s="14">
        <v>320000</v>
      </c>
      <c r="E181" t="s">
        <v>27</v>
      </c>
      <c r="F181" t="s">
        <v>28</v>
      </c>
      <c r="G181" s="14">
        <v>320000</v>
      </c>
      <c r="H181" s="14">
        <v>166200</v>
      </c>
      <c r="I181" s="19">
        <f t="shared" si="8"/>
        <v>51.9375</v>
      </c>
      <c r="J181" s="14">
        <v>332486</v>
      </c>
      <c r="K181" s="14">
        <f>G181-290486</f>
        <v>29514</v>
      </c>
      <c r="L181" s="14">
        <v>42000</v>
      </c>
      <c r="M181" s="29">
        <v>0</v>
      </c>
      <c r="N181" s="33">
        <v>0</v>
      </c>
      <c r="O181" s="38">
        <v>0</v>
      </c>
      <c r="P181" s="38">
        <v>0</v>
      </c>
      <c r="Q181" s="14" t="e">
        <f t="shared" si="9"/>
        <v>#DIV/0!</v>
      </c>
      <c r="R181" s="14" t="e">
        <f t="shared" si="10"/>
        <v>#DIV/0!</v>
      </c>
      <c r="S181" s="43" t="e">
        <f t="shared" si="11"/>
        <v>#DIV/0!</v>
      </c>
      <c r="T181" s="38">
        <v>0</v>
      </c>
      <c r="U181" s="5" t="s">
        <v>347</v>
      </c>
      <c r="V181" t="s">
        <v>507</v>
      </c>
      <c r="X181" t="s">
        <v>350</v>
      </c>
      <c r="Y181" s="6" t="s">
        <v>32</v>
      </c>
    </row>
    <row r="182" spans="1:25" x14ac:dyDescent="0.25">
      <c r="A182" t="s">
        <v>741</v>
      </c>
      <c r="B182" t="s">
        <v>742</v>
      </c>
      <c r="C182" s="24">
        <v>44601</v>
      </c>
      <c r="D182" s="14">
        <v>291250</v>
      </c>
      <c r="E182" t="s">
        <v>27</v>
      </c>
      <c r="F182" t="s">
        <v>28</v>
      </c>
      <c r="G182" s="14">
        <v>291250</v>
      </c>
      <c r="H182" s="14">
        <v>151400</v>
      </c>
      <c r="I182" s="19">
        <f t="shared" si="8"/>
        <v>51.982832618025753</v>
      </c>
      <c r="J182" s="14">
        <v>302776</v>
      </c>
      <c r="K182" s="14">
        <f>G182-241776</f>
        <v>49474</v>
      </c>
      <c r="L182" s="14">
        <v>61000</v>
      </c>
      <c r="M182" s="29">
        <v>0</v>
      </c>
      <c r="N182" s="33">
        <v>0</v>
      </c>
      <c r="O182" s="38">
        <v>0.35</v>
      </c>
      <c r="P182" s="38">
        <v>0.35</v>
      </c>
      <c r="Q182" s="14" t="e">
        <f t="shared" si="9"/>
        <v>#DIV/0!</v>
      </c>
      <c r="R182" s="14">
        <f t="shared" si="10"/>
        <v>141354.28571428571</v>
      </c>
      <c r="S182" s="43">
        <f t="shared" si="11"/>
        <v>3.2450478814115176</v>
      </c>
      <c r="T182" s="38">
        <v>0</v>
      </c>
      <c r="U182" s="5" t="s">
        <v>347</v>
      </c>
      <c r="V182" t="s">
        <v>743</v>
      </c>
      <c r="X182" t="s">
        <v>350</v>
      </c>
      <c r="Y182" s="6" t="s">
        <v>32</v>
      </c>
    </row>
    <row r="183" spans="1:25" x14ac:dyDescent="0.25">
      <c r="A183" t="s">
        <v>377</v>
      </c>
      <c r="B183" t="s">
        <v>378</v>
      </c>
      <c r="C183" s="24">
        <v>44319</v>
      </c>
      <c r="D183" s="14">
        <v>260000</v>
      </c>
      <c r="E183" t="s">
        <v>27</v>
      </c>
      <c r="F183" t="s">
        <v>28</v>
      </c>
      <c r="G183" s="14">
        <v>260000</v>
      </c>
      <c r="H183" s="14">
        <v>135300</v>
      </c>
      <c r="I183" s="19">
        <f t="shared" si="8"/>
        <v>52.038461538461533</v>
      </c>
      <c r="J183" s="14">
        <v>270592</v>
      </c>
      <c r="K183" s="14">
        <f>G183-232592</f>
        <v>27408</v>
      </c>
      <c r="L183" s="14">
        <v>38000</v>
      </c>
      <c r="M183" s="29">
        <v>0</v>
      </c>
      <c r="N183" s="33">
        <v>0</v>
      </c>
      <c r="O183" s="38">
        <v>0.34</v>
      </c>
      <c r="P183" s="38">
        <v>0.34</v>
      </c>
      <c r="Q183" s="14" t="e">
        <f t="shared" si="9"/>
        <v>#DIV/0!</v>
      </c>
      <c r="R183" s="14">
        <f t="shared" si="10"/>
        <v>80611.76470588235</v>
      </c>
      <c r="S183" s="43">
        <f t="shared" si="11"/>
        <v>1.8505914762599254</v>
      </c>
      <c r="T183" s="38">
        <v>0</v>
      </c>
      <c r="U183" s="5" t="s">
        <v>347</v>
      </c>
      <c r="V183" t="s">
        <v>379</v>
      </c>
      <c r="X183" t="s">
        <v>350</v>
      </c>
      <c r="Y183" s="6" t="s">
        <v>32</v>
      </c>
    </row>
    <row r="184" spans="1:25" x14ac:dyDescent="0.25">
      <c r="A184" t="s">
        <v>544</v>
      </c>
      <c r="B184" t="s">
        <v>545</v>
      </c>
      <c r="C184" s="24">
        <v>44365</v>
      </c>
      <c r="D184" s="14">
        <v>350000</v>
      </c>
      <c r="E184" t="s">
        <v>27</v>
      </c>
      <c r="F184" t="s">
        <v>28</v>
      </c>
      <c r="G184" s="14">
        <v>350000</v>
      </c>
      <c r="H184" s="14">
        <v>182200</v>
      </c>
      <c r="I184" s="19">
        <f t="shared" si="8"/>
        <v>52.057142857142857</v>
      </c>
      <c r="J184" s="14">
        <v>364306</v>
      </c>
      <c r="K184" s="14">
        <f>G184-322306</f>
        <v>27694</v>
      </c>
      <c r="L184" s="14">
        <v>42000</v>
      </c>
      <c r="M184" s="29">
        <v>0</v>
      </c>
      <c r="N184" s="33">
        <v>0</v>
      </c>
      <c r="O184" s="38">
        <v>0</v>
      </c>
      <c r="P184" s="38">
        <v>0</v>
      </c>
      <c r="Q184" s="14" t="e">
        <f t="shared" si="9"/>
        <v>#DIV/0!</v>
      </c>
      <c r="R184" s="14" t="e">
        <f t="shared" si="10"/>
        <v>#DIV/0!</v>
      </c>
      <c r="S184" s="43" t="e">
        <f t="shared" si="11"/>
        <v>#DIV/0!</v>
      </c>
      <c r="T184" s="38">
        <v>0</v>
      </c>
      <c r="U184" s="5" t="s">
        <v>347</v>
      </c>
      <c r="V184" t="s">
        <v>546</v>
      </c>
      <c r="X184" t="s">
        <v>350</v>
      </c>
      <c r="Y184" s="6" t="s">
        <v>32</v>
      </c>
    </row>
    <row r="185" spans="1:25" x14ac:dyDescent="0.25">
      <c r="A185" t="s">
        <v>744</v>
      </c>
      <c r="B185" t="s">
        <v>745</v>
      </c>
      <c r="C185" s="24">
        <v>45072</v>
      </c>
      <c r="D185" s="14">
        <v>376000</v>
      </c>
      <c r="E185" t="s">
        <v>27</v>
      </c>
      <c r="F185" t="s">
        <v>28</v>
      </c>
      <c r="G185" s="14">
        <v>376000</v>
      </c>
      <c r="H185" s="14">
        <v>196800</v>
      </c>
      <c r="I185" s="19">
        <f t="shared" si="8"/>
        <v>52.340425531914889</v>
      </c>
      <c r="J185" s="14">
        <v>393614</v>
      </c>
      <c r="K185" s="14">
        <f>G185-332614</f>
        <v>43386</v>
      </c>
      <c r="L185" s="14">
        <v>61000</v>
      </c>
      <c r="M185" s="29">
        <v>0</v>
      </c>
      <c r="N185" s="33">
        <v>0</v>
      </c>
      <c r="O185" s="38">
        <v>0.4</v>
      </c>
      <c r="P185" s="38">
        <v>0.4</v>
      </c>
      <c r="Q185" s="14" t="e">
        <f t="shared" si="9"/>
        <v>#DIV/0!</v>
      </c>
      <c r="R185" s="14">
        <f t="shared" si="10"/>
        <v>108465</v>
      </c>
      <c r="S185" s="43">
        <f t="shared" si="11"/>
        <v>2.4900137741046833</v>
      </c>
      <c r="T185" s="38">
        <v>0</v>
      </c>
      <c r="U185" s="5" t="s">
        <v>347</v>
      </c>
      <c r="V185" t="s">
        <v>746</v>
      </c>
      <c r="X185" t="s">
        <v>350</v>
      </c>
      <c r="Y185" s="6" t="s">
        <v>32</v>
      </c>
    </row>
    <row r="186" spans="1:25" x14ac:dyDescent="0.25">
      <c r="A186" t="s">
        <v>484</v>
      </c>
      <c r="B186" t="s">
        <v>485</v>
      </c>
      <c r="C186" s="24">
        <v>45169</v>
      </c>
      <c r="D186" s="14">
        <v>289900</v>
      </c>
      <c r="E186" t="s">
        <v>27</v>
      </c>
      <c r="F186" t="s">
        <v>28</v>
      </c>
      <c r="G186" s="14">
        <v>289900</v>
      </c>
      <c r="H186" s="14">
        <v>152100</v>
      </c>
      <c r="I186" s="19">
        <f t="shared" si="8"/>
        <v>52.46636771300448</v>
      </c>
      <c r="J186" s="14">
        <v>304132</v>
      </c>
      <c r="K186" s="14">
        <f>G186-262132</f>
        <v>27768</v>
      </c>
      <c r="L186" s="14">
        <v>42000</v>
      </c>
      <c r="M186" s="29">
        <v>0</v>
      </c>
      <c r="N186" s="33">
        <v>0</v>
      </c>
      <c r="O186" s="38">
        <v>0</v>
      </c>
      <c r="P186" s="38">
        <v>0</v>
      </c>
      <c r="Q186" s="14" t="e">
        <f t="shared" si="9"/>
        <v>#DIV/0!</v>
      </c>
      <c r="R186" s="14" t="e">
        <f t="shared" si="10"/>
        <v>#DIV/0!</v>
      </c>
      <c r="S186" s="43" t="e">
        <f t="shared" si="11"/>
        <v>#DIV/0!</v>
      </c>
      <c r="T186" s="38">
        <v>0</v>
      </c>
      <c r="U186" s="5" t="s">
        <v>347</v>
      </c>
      <c r="V186" t="s">
        <v>486</v>
      </c>
      <c r="X186" t="s">
        <v>350</v>
      </c>
      <c r="Y186" s="6" t="s">
        <v>32</v>
      </c>
    </row>
    <row r="187" spans="1:25" x14ac:dyDescent="0.25">
      <c r="A187" t="s">
        <v>362</v>
      </c>
      <c r="B187" t="s">
        <v>363</v>
      </c>
      <c r="C187" s="24">
        <v>44375</v>
      </c>
      <c r="D187" s="14">
        <v>265000</v>
      </c>
      <c r="E187" t="s">
        <v>27</v>
      </c>
      <c r="F187" t="s">
        <v>28</v>
      </c>
      <c r="G187" s="14">
        <v>265000</v>
      </c>
      <c r="H187" s="14">
        <v>139200</v>
      </c>
      <c r="I187" s="19">
        <f t="shared" si="8"/>
        <v>52.528301886792448</v>
      </c>
      <c r="J187" s="14">
        <v>278333</v>
      </c>
      <c r="K187" s="14">
        <f>G187-240333</f>
        <v>24667</v>
      </c>
      <c r="L187" s="14">
        <v>38000</v>
      </c>
      <c r="M187" s="29">
        <v>0</v>
      </c>
      <c r="N187" s="33">
        <v>0</v>
      </c>
      <c r="O187" s="38">
        <v>0.34</v>
      </c>
      <c r="P187" s="38">
        <v>0.34</v>
      </c>
      <c r="Q187" s="14" t="e">
        <f t="shared" si="9"/>
        <v>#DIV/0!</v>
      </c>
      <c r="R187" s="14">
        <f t="shared" si="10"/>
        <v>72550</v>
      </c>
      <c r="S187" s="43">
        <f t="shared" si="11"/>
        <v>1.6655188246097337</v>
      </c>
      <c r="T187" s="38">
        <v>0</v>
      </c>
      <c r="U187" s="5" t="s">
        <v>347</v>
      </c>
      <c r="V187" t="s">
        <v>364</v>
      </c>
      <c r="X187" t="s">
        <v>350</v>
      </c>
      <c r="Y187" s="6" t="s">
        <v>32</v>
      </c>
    </row>
    <row r="188" spans="1:25" x14ac:dyDescent="0.25">
      <c r="A188" t="s">
        <v>735</v>
      </c>
      <c r="B188" t="s">
        <v>736</v>
      </c>
      <c r="C188" s="24">
        <v>44487</v>
      </c>
      <c r="D188" s="14">
        <v>248900</v>
      </c>
      <c r="E188" t="s">
        <v>27</v>
      </c>
      <c r="F188" t="s">
        <v>28</v>
      </c>
      <c r="G188" s="14">
        <v>248900</v>
      </c>
      <c r="H188" s="14">
        <v>130800</v>
      </c>
      <c r="I188" s="19">
        <f t="shared" si="8"/>
        <v>52.551225391723591</v>
      </c>
      <c r="J188" s="14">
        <v>261574</v>
      </c>
      <c r="K188" s="14">
        <f>G188-200574</f>
        <v>48326</v>
      </c>
      <c r="L188" s="14">
        <v>61000</v>
      </c>
      <c r="M188" s="29">
        <v>0</v>
      </c>
      <c r="N188" s="33">
        <v>0</v>
      </c>
      <c r="O188" s="38">
        <v>0.35</v>
      </c>
      <c r="P188" s="38">
        <v>0.35</v>
      </c>
      <c r="Q188" s="14" t="e">
        <f t="shared" si="9"/>
        <v>#DIV/0!</v>
      </c>
      <c r="R188" s="14">
        <f t="shared" si="10"/>
        <v>138074.28571428571</v>
      </c>
      <c r="S188" s="43">
        <f t="shared" si="11"/>
        <v>3.1697494424767152</v>
      </c>
      <c r="T188" s="38">
        <v>0</v>
      </c>
      <c r="U188" s="5" t="s">
        <v>347</v>
      </c>
      <c r="V188" t="s">
        <v>737</v>
      </c>
      <c r="X188" t="s">
        <v>350</v>
      </c>
      <c r="Y188" s="6" t="s">
        <v>32</v>
      </c>
    </row>
    <row r="189" spans="1:25" x14ac:dyDescent="0.25">
      <c r="A189" t="s">
        <v>517</v>
      </c>
      <c r="B189" t="s">
        <v>518</v>
      </c>
      <c r="C189" s="24">
        <v>44533</v>
      </c>
      <c r="D189" s="14">
        <v>287000</v>
      </c>
      <c r="E189" t="s">
        <v>27</v>
      </c>
      <c r="F189" t="s">
        <v>28</v>
      </c>
      <c r="G189" s="14">
        <v>287000</v>
      </c>
      <c r="H189" s="14">
        <v>151500</v>
      </c>
      <c r="I189" s="19">
        <f t="shared" si="8"/>
        <v>52.78745644599303</v>
      </c>
      <c r="J189" s="14">
        <v>303057</v>
      </c>
      <c r="K189" s="14">
        <f>G189-261057</f>
        <v>25943</v>
      </c>
      <c r="L189" s="14">
        <v>42000</v>
      </c>
      <c r="M189" s="29">
        <v>0</v>
      </c>
      <c r="N189" s="33">
        <v>0</v>
      </c>
      <c r="O189" s="38">
        <v>0</v>
      </c>
      <c r="P189" s="38">
        <v>0</v>
      </c>
      <c r="Q189" s="14" t="e">
        <f t="shared" si="9"/>
        <v>#DIV/0!</v>
      </c>
      <c r="R189" s="14" t="e">
        <f t="shared" si="10"/>
        <v>#DIV/0!</v>
      </c>
      <c r="S189" s="43" t="e">
        <f t="shared" si="11"/>
        <v>#DIV/0!</v>
      </c>
      <c r="T189" s="38">
        <v>0</v>
      </c>
      <c r="U189" s="5" t="s">
        <v>347</v>
      </c>
      <c r="V189" t="s">
        <v>519</v>
      </c>
      <c r="X189" t="s">
        <v>350</v>
      </c>
      <c r="Y189" s="6" t="s">
        <v>32</v>
      </c>
    </row>
    <row r="190" spans="1:25" x14ac:dyDescent="0.25">
      <c r="A190" t="s">
        <v>465</v>
      </c>
      <c r="B190" t="s">
        <v>466</v>
      </c>
      <c r="C190" s="24">
        <v>44419</v>
      </c>
      <c r="D190" s="14">
        <v>225000</v>
      </c>
      <c r="E190" t="s">
        <v>27</v>
      </c>
      <c r="F190" t="s">
        <v>28</v>
      </c>
      <c r="G190" s="14">
        <v>225000</v>
      </c>
      <c r="H190" s="14">
        <v>118800</v>
      </c>
      <c r="I190" s="19">
        <f t="shared" si="8"/>
        <v>52.800000000000004</v>
      </c>
      <c r="J190" s="14">
        <v>237579</v>
      </c>
      <c r="K190" s="14">
        <f>G190-195579</f>
        <v>29421</v>
      </c>
      <c r="L190" s="14">
        <v>42000</v>
      </c>
      <c r="M190" s="29">
        <v>0</v>
      </c>
      <c r="N190" s="33">
        <v>0</v>
      </c>
      <c r="O190" s="38">
        <v>0.27</v>
      </c>
      <c r="P190" s="38">
        <v>0.27</v>
      </c>
      <c r="Q190" s="14" t="e">
        <f t="shared" si="9"/>
        <v>#DIV/0!</v>
      </c>
      <c r="R190" s="14">
        <f t="shared" si="10"/>
        <v>108966.66666666666</v>
      </c>
      <c r="S190" s="43">
        <f t="shared" si="11"/>
        <v>2.5015304560759102</v>
      </c>
      <c r="T190" s="38">
        <v>0</v>
      </c>
      <c r="U190" s="5" t="s">
        <v>347</v>
      </c>
      <c r="V190" t="s">
        <v>467</v>
      </c>
      <c r="X190" t="s">
        <v>350</v>
      </c>
      <c r="Y190" s="6" t="s">
        <v>32</v>
      </c>
    </row>
    <row r="191" spans="1:25" x14ac:dyDescent="0.25">
      <c r="A191" t="s">
        <v>747</v>
      </c>
      <c r="B191" t="s">
        <v>748</v>
      </c>
      <c r="C191" s="24">
        <v>44907</v>
      </c>
      <c r="D191" s="14">
        <v>355000</v>
      </c>
      <c r="E191" t="s">
        <v>27</v>
      </c>
      <c r="F191" t="s">
        <v>28</v>
      </c>
      <c r="G191" s="14">
        <v>355000</v>
      </c>
      <c r="H191" s="14">
        <v>187700</v>
      </c>
      <c r="I191" s="19">
        <f t="shared" si="8"/>
        <v>52.873239436619727</v>
      </c>
      <c r="J191" s="14">
        <v>375433</v>
      </c>
      <c r="K191" s="14">
        <f>G191-314433</f>
        <v>40567</v>
      </c>
      <c r="L191" s="14">
        <v>61000</v>
      </c>
      <c r="M191" s="29">
        <v>0</v>
      </c>
      <c r="N191" s="33">
        <v>0</v>
      </c>
      <c r="O191" s="38">
        <v>0.55000000000000004</v>
      </c>
      <c r="P191" s="38">
        <v>0.55000000000000004</v>
      </c>
      <c r="Q191" s="14" t="e">
        <f t="shared" si="9"/>
        <v>#DIV/0!</v>
      </c>
      <c r="R191" s="14">
        <f t="shared" si="10"/>
        <v>73758.181818181809</v>
      </c>
      <c r="S191" s="43">
        <f t="shared" si="11"/>
        <v>1.6932548626763502</v>
      </c>
      <c r="T191" s="38">
        <v>0</v>
      </c>
      <c r="U191" s="5" t="s">
        <v>347</v>
      </c>
      <c r="V191" t="s">
        <v>749</v>
      </c>
      <c r="X191" t="s">
        <v>350</v>
      </c>
      <c r="Y191" s="6" t="s">
        <v>32</v>
      </c>
    </row>
    <row r="192" spans="1:25" x14ac:dyDescent="0.25">
      <c r="A192" t="s">
        <v>763</v>
      </c>
      <c r="B192" t="s">
        <v>764</v>
      </c>
      <c r="C192" s="24">
        <v>44588</v>
      </c>
      <c r="D192" s="14">
        <v>342000</v>
      </c>
      <c r="E192" t="s">
        <v>27</v>
      </c>
      <c r="F192" t="s">
        <v>28</v>
      </c>
      <c r="G192" s="14">
        <v>342000</v>
      </c>
      <c r="H192" s="14">
        <v>181700</v>
      </c>
      <c r="I192" s="19">
        <f t="shared" si="8"/>
        <v>53.128654970760238</v>
      </c>
      <c r="J192" s="14">
        <v>363300</v>
      </c>
      <c r="K192" s="14">
        <f>G192-325300</f>
        <v>16700</v>
      </c>
      <c r="L192" s="14">
        <v>38000</v>
      </c>
      <c r="M192" s="29">
        <v>0</v>
      </c>
      <c r="N192" s="33">
        <v>0</v>
      </c>
      <c r="O192" s="38">
        <v>0</v>
      </c>
      <c r="P192" s="38">
        <v>0</v>
      </c>
      <c r="Q192" s="14" t="e">
        <f t="shared" si="9"/>
        <v>#DIV/0!</v>
      </c>
      <c r="R192" s="14" t="e">
        <f t="shared" si="10"/>
        <v>#DIV/0!</v>
      </c>
      <c r="S192" s="43" t="e">
        <f t="shared" si="11"/>
        <v>#DIV/0!</v>
      </c>
      <c r="T192" s="38">
        <v>0</v>
      </c>
      <c r="U192" s="5" t="s">
        <v>347</v>
      </c>
      <c r="V192" t="s">
        <v>765</v>
      </c>
      <c r="X192" t="s">
        <v>350</v>
      </c>
      <c r="Y192" s="6" t="s">
        <v>32</v>
      </c>
    </row>
    <row r="193" spans="1:25" x14ac:dyDescent="0.25">
      <c r="A193" t="s">
        <v>461</v>
      </c>
      <c r="B193" t="s">
        <v>462</v>
      </c>
      <c r="C193" s="24">
        <v>44568</v>
      </c>
      <c r="D193" s="14">
        <v>313750</v>
      </c>
      <c r="E193" t="s">
        <v>27</v>
      </c>
      <c r="F193" t="s">
        <v>28</v>
      </c>
      <c r="G193" s="14">
        <v>313750</v>
      </c>
      <c r="H193" s="14">
        <v>166800</v>
      </c>
      <c r="I193" s="19">
        <f t="shared" si="8"/>
        <v>53.163346613545812</v>
      </c>
      <c r="J193" s="14">
        <v>333592</v>
      </c>
      <c r="K193" s="14">
        <f>G193-287592</f>
        <v>26158</v>
      </c>
      <c r="L193" s="14">
        <v>46000</v>
      </c>
      <c r="M193" s="29">
        <v>0</v>
      </c>
      <c r="N193" s="33">
        <v>0</v>
      </c>
      <c r="O193" s="38">
        <v>0.47</v>
      </c>
      <c r="P193" s="38">
        <v>0.47</v>
      </c>
      <c r="Q193" s="14" t="e">
        <f t="shared" si="9"/>
        <v>#DIV/0!</v>
      </c>
      <c r="R193" s="14">
        <f t="shared" si="10"/>
        <v>55655.319148936171</v>
      </c>
      <c r="S193" s="43">
        <f t="shared" si="11"/>
        <v>1.2776703202235118</v>
      </c>
      <c r="T193" s="38">
        <v>0</v>
      </c>
      <c r="U193" s="5" t="s">
        <v>347</v>
      </c>
      <c r="V193" t="s">
        <v>463</v>
      </c>
      <c r="X193" t="s">
        <v>350</v>
      </c>
      <c r="Y193" s="6" t="s">
        <v>32</v>
      </c>
    </row>
    <row r="194" spans="1:25" x14ac:dyDescent="0.25">
      <c r="A194" t="s">
        <v>487</v>
      </c>
      <c r="B194" t="s">
        <v>488</v>
      </c>
      <c r="C194" s="24">
        <v>44617</v>
      </c>
      <c r="D194" s="14">
        <v>290000</v>
      </c>
      <c r="E194" t="s">
        <v>27</v>
      </c>
      <c r="F194" t="s">
        <v>28</v>
      </c>
      <c r="G194" s="14">
        <v>290000</v>
      </c>
      <c r="H194" s="14">
        <v>154400</v>
      </c>
      <c r="I194" s="19">
        <f t="shared" ref="I194:I248" si="12">H194/G194*100</f>
        <v>53.241379310344826</v>
      </c>
      <c r="J194" s="14">
        <v>308741</v>
      </c>
      <c r="K194" s="14">
        <f>G194-266741</f>
        <v>23259</v>
      </c>
      <c r="L194" s="14">
        <v>42000</v>
      </c>
      <c r="M194" s="29">
        <v>0</v>
      </c>
      <c r="N194" s="33">
        <v>0</v>
      </c>
      <c r="O194" s="38">
        <v>0</v>
      </c>
      <c r="P194" s="38">
        <v>0</v>
      </c>
      <c r="Q194" s="14" t="e">
        <f t="shared" ref="Q194:Q248" si="13">K194/M194</f>
        <v>#DIV/0!</v>
      </c>
      <c r="R194" s="14" t="e">
        <f t="shared" ref="R194:R248" si="14">K194/O194</f>
        <v>#DIV/0!</v>
      </c>
      <c r="S194" s="43" t="e">
        <f t="shared" ref="S194:S248" si="15">K194/O194/43560</f>
        <v>#DIV/0!</v>
      </c>
      <c r="T194" s="38">
        <v>0</v>
      </c>
      <c r="U194" s="5" t="s">
        <v>347</v>
      </c>
      <c r="V194" t="s">
        <v>489</v>
      </c>
      <c r="X194" t="s">
        <v>350</v>
      </c>
      <c r="Y194" s="6" t="s">
        <v>32</v>
      </c>
    </row>
    <row r="195" spans="1:25" x14ac:dyDescent="0.25">
      <c r="A195" t="s">
        <v>595</v>
      </c>
      <c r="B195" t="s">
        <v>596</v>
      </c>
      <c r="C195" s="24">
        <v>44383</v>
      </c>
      <c r="D195" s="14">
        <v>170000</v>
      </c>
      <c r="E195" t="s">
        <v>27</v>
      </c>
      <c r="F195" t="s">
        <v>28</v>
      </c>
      <c r="G195" s="14">
        <v>170000</v>
      </c>
      <c r="H195" s="14">
        <v>91400</v>
      </c>
      <c r="I195" s="19">
        <f t="shared" si="12"/>
        <v>53.764705882352935</v>
      </c>
      <c r="J195" s="14">
        <v>182782</v>
      </c>
      <c r="K195" s="14">
        <f>G195-117782</f>
        <v>52218</v>
      </c>
      <c r="L195" s="14">
        <v>65000</v>
      </c>
      <c r="M195" s="29">
        <v>0</v>
      </c>
      <c r="N195" s="33">
        <v>0</v>
      </c>
      <c r="O195" s="38">
        <v>0.83</v>
      </c>
      <c r="P195" s="38">
        <v>0.83</v>
      </c>
      <c r="Q195" s="14" t="e">
        <f t="shared" si="13"/>
        <v>#DIV/0!</v>
      </c>
      <c r="R195" s="14">
        <f t="shared" si="14"/>
        <v>62913.253012048197</v>
      </c>
      <c r="S195" s="43">
        <f t="shared" si="15"/>
        <v>1.4442895549138703</v>
      </c>
      <c r="T195" s="38">
        <v>0</v>
      </c>
      <c r="U195" s="5" t="s">
        <v>347</v>
      </c>
      <c r="V195" t="s">
        <v>597</v>
      </c>
      <c r="X195" t="s">
        <v>350</v>
      </c>
      <c r="Y195" s="6" t="s">
        <v>32</v>
      </c>
    </row>
    <row r="196" spans="1:25" x14ac:dyDescent="0.25">
      <c r="A196" t="s">
        <v>520</v>
      </c>
      <c r="B196" t="s">
        <v>521</v>
      </c>
      <c r="C196" s="24">
        <v>44358</v>
      </c>
      <c r="D196" s="14">
        <v>291760</v>
      </c>
      <c r="E196" t="s">
        <v>27</v>
      </c>
      <c r="F196" t="s">
        <v>28</v>
      </c>
      <c r="G196" s="14">
        <v>291760</v>
      </c>
      <c r="H196" s="14">
        <v>156900</v>
      </c>
      <c r="I196" s="19">
        <f t="shared" si="12"/>
        <v>53.777077049629831</v>
      </c>
      <c r="J196" s="14">
        <v>313886</v>
      </c>
      <c r="K196" s="14">
        <f>G196-271886</f>
        <v>19874</v>
      </c>
      <c r="L196" s="14">
        <v>42000</v>
      </c>
      <c r="M196" s="29">
        <v>0</v>
      </c>
      <c r="N196" s="33">
        <v>0</v>
      </c>
      <c r="O196" s="38">
        <v>0.751</v>
      </c>
      <c r="P196" s="38">
        <v>0.751</v>
      </c>
      <c r="Q196" s="14" t="e">
        <f t="shared" si="13"/>
        <v>#DIV/0!</v>
      </c>
      <c r="R196" s="14">
        <f t="shared" si="14"/>
        <v>26463.382157123833</v>
      </c>
      <c r="S196" s="43">
        <f t="shared" si="15"/>
        <v>0.6075156601727234</v>
      </c>
      <c r="T196" s="38">
        <v>0</v>
      </c>
      <c r="U196" s="5" t="s">
        <v>347</v>
      </c>
      <c r="V196" t="s">
        <v>522</v>
      </c>
      <c r="X196" t="s">
        <v>350</v>
      </c>
      <c r="Y196" s="6" t="s">
        <v>32</v>
      </c>
    </row>
    <row r="197" spans="1:25" x14ac:dyDescent="0.25">
      <c r="A197" t="s">
        <v>511</v>
      </c>
      <c r="B197" t="s">
        <v>512</v>
      </c>
      <c r="C197" s="24">
        <v>44350</v>
      </c>
      <c r="D197" s="14">
        <v>345000</v>
      </c>
      <c r="E197" t="s">
        <v>27</v>
      </c>
      <c r="F197" t="s">
        <v>28</v>
      </c>
      <c r="G197" s="14">
        <v>345000</v>
      </c>
      <c r="H197" s="14">
        <v>185600</v>
      </c>
      <c r="I197" s="19">
        <f t="shared" si="12"/>
        <v>53.797101449275367</v>
      </c>
      <c r="J197" s="14">
        <v>371159</v>
      </c>
      <c r="K197" s="14">
        <f>G197-329159</f>
        <v>15841</v>
      </c>
      <c r="L197" s="14">
        <v>42000</v>
      </c>
      <c r="M197" s="29">
        <v>0</v>
      </c>
      <c r="N197" s="33">
        <v>0</v>
      </c>
      <c r="O197" s="38">
        <v>0</v>
      </c>
      <c r="P197" s="38">
        <v>0</v>
      </c>
      <c r="Q197" s="14" t="e">
        <f t="shared" si="13"/>
        <v>#DIV/0!</v>
      </c>
      <c r="R197" s="14" t="e">
        <f t="shared" si="14"/>
        <v>#DIV/0!</v>
      </c>
      <c r="S197" s="43" t="e">
        <f t="shared" si="15"/>
        <v>#DIV/0!</v>
      </c>
      <c r="T197" s="38">
        <v>0</v>
      </c>
      <c r="U197" s="5" t="s">
        <v>347</v>
      </c>
      <c r="V197" t="s">
        <v>513</v>
      </c>
      <c r="X197" t="s">
        <v>350</v>
      </c>
      <c r="Y197" s="6" t="s">
        <v>32</v>
      </c>
    </row>
    <row r="198" spans="1:25" x14ac:dyDescent="0.25">
      <c r="A198" t="s">
        <v>374</v>
      </c>
      <c r="B198" t="s">
        <v>375</v>
      </c>
      <c r="C198" s="24">
        <v>44354</v>
      </c>
      <c r="D198" s="14">
        <v>236000</v>
      </c>
      <c r="E198" t="s">
        <v>27</v>
      </c>
      <c r="F198" t="s">
        <v>28</v>
      </c>
      <c r="G198" s="14">
        <v>236000</v>
      </c>
      <c r="H198" s="14">
        <v>127200</v>
      </c>
      <c r="I198" s="19">
        <f t="shared" si="12"/>
        <v>53.898305084745765</v>
      </c>
      <c r="J198" s="14">
        <v>254367</v>
      </c>
      <c r="K198" s="14">
        <f>G198-216367</f>
        <v>19633</v>
      </c>
      <c r="L198" s="14">
        <v>38000</v>
      </c>
      <c r="M198" s="29">
        <v>0</v>
      </c>
      <c r="N198" s="33">
        <v>0</v>
      </c>
      <c r="O198" s="38">
        <v>0</v>
      </c>
      <c r="P198" s="38">
        <v>0</v>
      </c>
      <c r="Q198" s="14" t="e">
        <f t="shared" si="13"/>
        <v>#DIV/0!</v>
      </c>
      <c r="R198" s="14" t="e">
        <f t="shared" si="14"/>
        <v>#DIV/0!</v>
      </c>
      <c r="S198" s="43" t="e">
        <f t="shared" si="15"/>
        <v>#DIV/0!</v>
      </c>
      <c r="T198" s="38">
        <v>0</v>
      </c>
      <c r="U198" s="5" t="s">
        <v>347</v>
      </c>
      <c r="V198" t="s">
        <v>376</v>
      </c>
      <c r="X198" t="s">
        <v>350</v>
      </c>
      <c r="Y198" s="6" t="s">
        <v>32</v>
      </c>
    </row>
    <row r="199" spans="1:25" x14ac:dyDescent="0.25">
      <c r="A199" t="s">
        <v>478</v>
      </c>
      <c r="B199" t="s">
        <v>479</v>
      </c>
      <c r="C199" s="24">
        <v>44421</v>
      </c>
      <c r="D199" s="14">
        <v>238500</v>
      </c>
      <c r="E199" t="s">
        <v>27</v>
      </c>
      <c r="F199" t="s">
        <v>28</v>
      </c>
      <c r="G199" s="14">
        <v>238500</v>
      </c>
      <c r="H199" s="14">
        <v>129400</v>
      </c>
      <c r="I199" s="19">
        <f t="shared" si="12"/>
        <v>54.255765199161424</v>
      </c>
      <c r="J199" s="14">
        <v>258742</v>
      </c>
      <c r="K199" s="14">
        <f>G199-216742</f>
        <v>21758</v>
      </c>
      <c r="L199" s="14">
        <v>42000</v>
      </c>
      <c r="M199" s="29">
        <v>0</v>
      </c>
      <c r="N199" s="33">
        <v>0</v>
      </c>
      <c r="O199" s="38">
        <v>0</v>
      </c>
      <c r="P199" s="38">
        <v>0</v>
      </c>
      <c r="Q199" s="14" t="e">
        <f t="shared" si="13"/>
        <v>#DIV/0!</v>
      </c>
      <c r="R199" s="14" t="e">
        <f t="shared" si="14"/>
        <v>#DIV/0!</v>
      </c>
      <c r="S199" s="43" t="e">
        <f t="shared" si="15"/>
        <v>#DIV/0!</v>
      </c>
      <c r="T199" s="38">
        <v>0</v>
      </c>
      <c r="U199" s="5" t="s">
        <v>347</v>
      </c>
      <c r="V199" t="s">
        <v>480</v>
      </c>
      <c r="X199" t="s">
        <v>350</v>
      </c>
      <c r="Y199" s="6" t="s">
        <v>32</v>
      </c>
    </row>
    <row r="200" spans="1:25" x14ac:dyDescent="0.25">
      <c r="A200" t="s">
        <v>514</v>
      </c>
      <c r="B200" t="s">
        <v>515</v>
      </c>
      <c r="C200" s="24">
        <v>44470</v>
      </c>
      <c r="D200" s="14">
        <v>265000</v>
      </c>
      <c r="E200" t="s">
        <v>27</v>
      </c>
      <c r="F200" t="s">
        <v>28</v>
      </c>
      <c r="G200" s="14">
        <v>265000</v>
      </c>
      <c r="H200" s="14">
        <v>146000</v>
      </c>
      <c r="I200" s="19">
        <f t="shared" si="12"/>
        <v>55.094339622641506</v>
      </c>
      <c r="J200" s="14">
        <v>291999</v>
      </c>
      <c r="K200" s="14">
        <f>G200-249999</f>
        <v>15001</v>
      </c>
      <c r="L200" s="14">
        <v>42000</v>
      </c>
      <c r="M200" s="29">
        <v>0</v>
      </c>
      <c r="N200" s="33">
        <v>0</v>
      </c>
      <c r="O200" s="38">
        <v>0</v>
      </c>
      <c r="P200" s="38">
        <v>0</v>
      </c>
      <c r="Q200" s="14" t="e">
        <f t="shared" si="13"/>
        <v>#DIV/0!</v>
      </c>
      <c r="R200" s="14" t="e">
        <f t="shared" si="14"/>
        <v>#DIV/0!</v>
      </c>
      <c r="S200" s="43" t="e">
        <f t="shared" si="15"/>
        <v>#DIV/0!</v>
      </c>
      <c r="T200" s="38">
        <v>0</v>
      </c>
      <c r="U200" s="5" t="s">
        <v>347</v>
      </c>
      <c r="V200" t="s">
        <v>516</v>
      </c>
      <c r="X200" t="s">
        <v>350</v>
      </c>
      <c r="Y200" s="6" t="s">
        <v>32</v>
      </c>
    </row>
    <row r="201" spans="1:25" x14ac:dyDescent="0.25">
      <c r="A201" t="s">
        <v>499</v>
      </c>
      <c r="B201" t="s">
        <v>500</v>
      </c>
      <c r="C201" s="24">
        <v>44764</v>
      </c>
      <c r="D201" s="14">
        <v>260000</v>
      </c>
      <c r="E201" t="s">
        <v>27</v>
      </c>
      <c r="F201" t="s">
        <v>28</v>
      </c>
      <c r="G201" s="14">
        <v>260000</v>
      </c>
      <c r="H201" s="14">
        <v>144000</v>
      </c>
      <c r="I201" s="19">
        <f t="shared" si="12"/>
        <v>55.384615384615387</v>
      </c>
      <c r="J201" s="14">
        <v>288033</v>
      </c>
      <c r="K201" s="14">
        <f>G201-246033</f>
        <v>13967</v>
      </c>
      <c r="L201" s="14">
        <v>42000</v>
      </c>
      <c r="M201" s="29">
        <v>0</v>
      </c>
      <c r="N201" s="33">
        <v>0</v>
      </c>
      <c r="O201" s="38">
        <v>0</v>
      </c>
      <c r="P201" s="38">
        <v>0</v>
      </c>
      <c r="Q201" s="14" t="e">
        <f t="shared" si="13"/>
        <v>#DIV/0!</v>
      </c>
      <c r="R201" s="14" t="e">
        <f t="shared" si="14"/>
        <v>#DIV/0!</v>
      </c>
      <c r="S201" s="43" t="e">
        <f t="shared" si="15"/>
        <v>#DIV/0!</v>
      </c>
      <c r="T201" s="38">
        <v>0</v>
      </c>
      <c r="U201" s="5" t="s">
        <v>347</v>
      </c>
      <c r="V201" t="s">
        <v>501</v>
      </c>
      <c r="X201" t="s">
        <v>350</v>
      </c>
      <c r="Y201" s="6" t="s">
        <v>32</v>
      </c>
    </row>
    <row r="202" spans="1:25" x14ac:dyDescent="0.25">
      <c r="A202" t="s">
        <v>738</v>
      </c>
      <c r="B202" t="s">
        <v>739</v>
      </c>
      <c r="C202" s="24">
        <v>44477</v>
      </c>
      <c r="D202" s="14">
        <v>215000</v>
      </c>
      <c r="E202" t="s">
        <v>27</v>
      </c>
      <c r="F202" t="s">
        <v>28</v>
      </c>
      <c r="G202" s="14">
        <v>215000</v>
      </c>
      <c r="H202" s="14">
        <v>121800</v>
      </c>
      <c r="I202" s="19">
        <f t="shared" si="12"/>
        <v>56.651162790697676</v>
      </c>
      <c r="J202" s="14">
        <v>243664</v>
      </c>
      <c r="K202" s="14">
        <f>G202-182664</f>
        <v>32336</v>
      </c>
      <c r="L202" s="14">
        <v>61000</v>
      </c>
      <c r="M202" s="29">
        <v>0</v>
      </c>
      <c r="N202" s="33">
        <v>0</v>
      </c>
      <c r="O202" s="38">
        <v>0.37</v>
      </c>
      <c r="P202" s="38">
        <v>0.37</v>
      </c>
      <c r="Q202" s="14" t="e">
        <f t="shared" si="13"/>
        <v>#DIV/0!</v>
      </c>
      <c r="R202" s="14">
        <f t="shared" si="14"/>
        <v>87394.5945945946</v>
      </c>
      <c r="S202" s="43">
        <f t="shared" si="15"/>
        <v>2.0063038244856428</v>
      </c>
      <c r="T202" s="38">
        <v>0</v>
      </c>
      <c r="U202" s="5" t="s">
        <v>347</v>
      </c>
      <c r="V202" t="s">
        <v>740</v>
      </c>
      <c r="X202" t="s">
        <v>350</v>
      </c>
      <c r="Y202" s="6" t="s">
        <v>32</v>
      </c>
    </row>
    <row r="203" spans="1:25" x14ac:dyDescent="0.25">
      <c r="A203" t="s">
        <v>757</v>
      </c>
      <c r="B203" t="s">
        <v>758</v>
      </c>
      <c r="C203" s="24">
        <v>44365</v>
      </c>
      <c r="D203" s="14">
        <v>350000</v>
      </c>
      <c r="E203" t="s">
        <v>27</v>
      </c>
      <c r="F203" t="s">
        <v>28</v>
      </c>
      <c r="G203" s="14">
        <v>350000</v>
      </c>
      <c r="H203" s="14">
        <v>201700</v>
      </c>
      <c r="I203" s="19">
        <f t="shared" si="12"/>
        <v>57.628571428571426</v>
      </c>
      <c r="J203" s="14">
        <v>403377</v>
      </c>
      <c r="K203" s="14">
        <f>G203-342377</f>
        <v>7623</v>
      </c>
      <c r="L203" s="14">
        <v>61000</v>
      </c>
      <c r="M203" s="29">
        <v>0</v>
      </c>
      <c r="N203" s="33">
        <v>0</v>
      </c>
      <c r="O203" s="38">
        <v>0.63</v>
      </c>
      <c r="P203" s="38">
        <v>0.63</v>
      </c>
      <c r="Q203" s="14" t="e">
        <f t="shared" si="13"/>
        <v>#DIV/0!</v>
      </c>
      <c r="R203" s="14">
        <f t="shared" si="14"/>
        <v>12100</v>
      </c>
      <c r="S203" s="43">
        <f t="shared" si="15"/>
        <v>0.27777777777777779</v>
      </c>
      <c r="T203" s="38">
        <v>0</v>
      </c>
      <c r="U203" s="5" t="s">
        <v>347</v>
      </c>
      <c r="V203" t="s">
        <v>759</v>
      </c>
      <c r="X203" t="s">
        <v>350</v>
      </c>
      <c r="Y203" s="6" t="s">
        <v>32</v>
      </c>
    </row>
    <row r="204" spans="1:25" x14ac:dyDescent="0.25">
      <c r="A204" t="s">
        <v>523</v>
      </c>
      <c r="B204" t="s">
        <v>524</v>
      </c>
      <c r="C204" s="24">
        <v>44763</v>
      </c>
      <c r="D204" s="14">
        <v>130000</v>
      </c>
      <c r="E204" t="s">
        <v>27</v>
      </c>
      <c r="F204" t="s">
        <v>28</v>
      </c>
      <c r="G204" s="14">
        <v>130000</v>
      </c>
      <c r="H204" s="14">
        <v>28000</v>
      </c>
      <c r="I204" s="19">
        <f t="shared" si="12"/>
        <v>21.53846153846154</v>
      </c>
      <c r="J204" s="14">
        <v>56000</v>
      </c>
      <c r="K204" s="14">
        <f>G204-0</f>
        <v>130000</v>
      </c>
      <c r="L204" s="14">
        <v>56000</v>
      </c>
      <c r="M204" s="29">
        <v>0</v>
      </c>
      <c r="N204" s="33">
        <v>0</v>
      </c>
      <c r="O204" s="38">
        <v>1.1559999999999999</v>
      </c>
      <c r="P204" s="38">
        <v>1.1559999999999999</v>
      </c>
      <c r="Q204" s="14" t="e">
        <f t="shared" si="13"/>
        <v>#DIV/0!</v>
      </c>
      <c r="R204" s="14">
        <f t="shared" si="14"/>
        <v>112456.7474048443</v>
      </c>
      <c r="S204" s="43">
        <f t="shared" si="15"/>
        <v>2.5816516851433495</v>
      </c>
      <c r="T204" s="38">
        <v>0</v>
      </c>
      <c r="U204" s="5" t="s">
        <v>347</v>
      </c>
      <c r="V204" t="s">
        <v>525</v>
      </c>
      <c r="X204" t="s">
        <v>444</v>
      </c>
      <c r="Y204" s="6" t="s">
        <v>113</v>
      </c>
    </row>
    <row r="205" spans="1:25" x14ac:dyDescent="0.25">
      <c r="A205" t="s">
        <v>550</v>
      </c>
      <c r="B205" t="s">
        <v>551</v>
      </c>
      <c r="C205" s="24">
        <v>44628</v>
      </c>
      <c r="D205" s="14">
        <v>100000</v>
      </c>
      <c r="E205" t="s">
        <v>27</v>
      </c>
      <c r="F205" t="s">
        <v>28</v>
      </c>
      <c r="G205" s="14">
        <v>100000</v>
      </c>
      <c r="H205" s="14">
        <v>28000</v>
      </c>
      <c r="I205" s="19">
        <f t="shared" si="12"/>
        <v>28.000000000000004</v>
      </c>
      <c r="J205" s="14">
        <v>56000</v>
      </c>
      <c r="K205" s="14">
        <f>G205-0</f>
        <v>100000</v>
      </c>
      <c r="L205" s="14">
        <v>56000</v>
      </c>
      <c r="M205" s="29">
        <v>0</v>
      </c>
      <c r="N205" s="33">
        <v>0</v>
      </c>
      <c r="O205" s="38">
        <v>0</v>
      </c>
      <c r="P205" s="38">
        <v>0</v>
      </c>
      <c r="Q205" s="14" t="e">
        <f t="shared" si="13"/>
        <v>#DIV/0!</v>
      </c>
      <c r="R205" s="14" t="e">
        <f t="shared" si="14"/>
        <v>#DIV/0!</v>
      </c>
      <c r="S205" s="43" t="e">
        <f t="shared" si="15"/>
        <v>#DIV/0!</v>
      </c>
      <c r="T205" s="38">
        <v>0</v>
      </c>
      <c r="U205" s="5" t="s">
        <v>347</v>
      </c>
      <c r="V205" t="s">
        <v>552</v>
      </c>
      <c r="X205" t="s">
        <v>444</v>
      </c>
      <c r="Y205" s="6" t="s">
        <v>113</v>
      </c>
    </row>
    <row r="206" spans="1:25" x14ac:dyDescent="0.25">
      <c r="A206" t="s">
        <v>553</v>
      </c>
      <c r="B206" t="s">
        <v>554</v>
      </c>
      <c r="C206" s="24">
        <v>44410</v>
      </c>
      <c r="D206" s="14">
        <v>83000</v>
      </c>
      <c r="E206" t="s">
        <v>27</v>
      </c>
      <c r="F206" t="s">
        <v>28</v>
      </c>
      <c r="G206" s="14">
        <v>83000</v>
      </c>
      <c r="H206" s="14">
        <v>28000</v>
      </c>
      <c r="I206" s="19">
        <f t="shared" si="12"/>
        <v>33.734939759036145</v>
      </c>
      <c r="J206" s="14">
        <v>56000</v>
      </c>
      <c r="K206" s="14">
        <f>G206-0</f>
        <v>83000</v>
      </c>
      <c r="L206" s="14">
        <v>56000</v>
      </c>
      <c r="M206" s="29">
        <v>0</v>
      </c>
      <c r="N206" s="33">
        <v>0</v>
      </c>
      <c r="O206" s="38">
        <v>0</v>
      </c>
      <c r="P206" s="38">
        <v>0</v>
      </c>
      <c r="Q206" s="14" t="e">
        <f t="shared" si="13"/>
        <v>#DIV/0!</v>
      </c>
      <c r="R206" s="14" t="e">
        <f t="shared" si="14"/>
        <v>#DIV/0!</v>
      </c>
      <c r="S206" s="43" t="e">
        <f t="shared" si="15"/>
        <v>#DIV/0!</v>
      </c>
      <c r="T206" s="38">
        <v>0</v>
      </c>
      <c r="U206" s="5" t="s">
        <v>347</v>
      </c>
      <c r="V206" t="s">
        <v>555</v>
      </c>
      <c r="X206" t="s">
        <v>444</v>
      </c>
      <c r="Y206" s="6" t="s">
        <v>32</v>
      </c>
    </row>
    <row r="207" spans="1:25" x14ac:dyDescent="0.25">
      <c r="A207" t="s">
        <v>446</v>
      </c>
      <c r="B207" t="s">
        <v>447</v>
      </c>
      <c r="C207" s="24">
        <v>44377</v>
      </c>
      <c r="D207" s="14">
        <v>405000</v>
      </c>
      <c r="E207" t="s">
        <v>27</v>
      </c>
      <c r="F207" t="s">
        <v>28</v>
      </c>
      <c r="G207" s="14">
        <v>405000</v>
      </c>
      <c r="H207" s="14">
        <v>136900</v>
      </c>
      <c r="I207" s="19">
        <f t="shared" si="12"/>
        <v>33.802469135802468</v>
      </c>
      <c r="J207" s="14">
        <v>273841</v>
      </c>
      <c r="K207" s="14">
        <f>G207-212841</f>
        <v>192159</v>
      </c>
      <c r="L207" s="14">
        <v>61000</v>
      </c>
      <c r="M207" s="29">
        <v>0</v>
      </c>
      <c r="N207" s="33">
        <v>0</v>
      </c>
      <c r="O207" s="38">
        <v>0.67</v>
      </c>
      <c r="P207" s="38">
        <v>0.67</v>
      </c>
      <c r="Q207" s="14" t="e">
        <f t="shared" si="13"/>
        <v>#DIV/0!</v>
      </c>
      <c r="R207" s="14">
        <f t="shared" si="14"/>
        <v>286804.4776119403</v>
      </c>
      <c r="S207" s="43">
        <f t="shared" si="15"/>
        <v>6.5841248303934874</v>
      </c>
      <c r="T207" s="38">
        <v>0</v>
      </c>
      <c r="U207" s="5" t="s">
        <v>347</v>
      </c>
      <c r="V207" t="s">
        <v>448</v>
      </c>
      <c r="X207" t="s">
        <v>444</v>
      </c>
      <c r="Y207" s="6" t="s">
        <v>32</v>
      </c>
    </row>
    <row r="208" spans="1:25" x14ac:dyDescent="0.25">
      <c r="A208" t="s">
        <v>441</v>
      </c>
      <c r="B208" t="s">
        <v>442</v>
      </c>
      <c r="C208" s="24">
        <v>45148</v>
      </c>
      <c r="D208" s="14">
        <v>319200</v>
      </c>
      <c r="E208" t="s">
        <v>27</v>
      </c>
      <c r="F208" t="s">
        <v>28</v>
      </c>
      <c r="G208" s="14">
        <v>319200</v>
      </c>
      <c r="H208" s="14">
        <v>125200</v>
      </c>
      <c r="I208" s="19">
        <f t="shared" si="12"/>
        <v>39.223057644110277</v>
      </c>
      <c r="J208" s="14">
        <v>250452</v>
      </c>
      <c r="K208" s="14">
        <f>G208-189452</f>
        <v>129748</v>
      </c>
      <c r="L208" s="14">
        <v>61000</v>
      </c>
      <c r="M208" s="29">
        <v>0</v>
      </c>
      <c r="N208" s="33">
        <v>0</v>
      </c>
      <c r="O208" s="38">
        <v>0.32</v>
      </c>
      <c r="P208" s="38">
        <v>0.32</v>
      </c>
      <c r="Q208" s="14" t="e">
        <f t="shared" si="13"/>
        <v>#DIV/0!</v>
      </c>
      <c r="R208" s="14">
        <f t="shared" si="14"/>
        <v>405462.5</v>
      </c>
      <c r="S208" s="43">
        <f t="shared" si="15"/>
        <v>9.3081382001836541</v>
      </c>
      <c r="T208" s="38">
        <v>0</v>
      </c>
      <c r="U208" s="5" t="s">
        <v>347</v>
      </c>
      <c r="V208" t="s">
        <v>445</v>
      </c>
      <c r="X208" t="s">
        <v>444</v>
      </c>
      <c r="Y208" s="6" t="s">
        <v>32</v>
      </c>
    </row>
    <row r="209" spans="1:25" x14ac:dyDescent="0.25">
      <c r="A209" t="s">
        <v>455</v>
      </c>
      <c r="B209" t="s">
        <v>456</v>
      </c>
      <c r="C209" s="24">
        <v>44756</v>
      </c>
      <c r="D209" s="14">
        <v>283000</v>
      </c>
      <c r="E209" t="s">
        <v>27</v>
      </c>
      <c r="F209" t="s">
        <v>28</v>
      </c>
      <c r="G209" s="14">
        <v>283000</v>
      </c>
      <c r="H209" s="14">
        <v>121100</v>
      </c>
      <c r="I209" s="19">
        <f t="shared" si="12"/>
        <v>42.791519434628981</v>
      </c>
      <c r="J209" s="14">
        <v>242248</v>
      </c>
      <c r="K209" s="14">
        <f>G209-181248</f>
        <v>101752</v>
      </c>
      <c r="L209" s="14">
        <v>61000</v>
      </c>
      <c r="M209" s="29">
        <v>0</v>
      </c>
      <c r="N209" s="33">
        <v>0</v>
      </c>
      <c r="O209" s="38">
        <v>1.22</v>
      </c>
      <c r="P209" s="38">
        <v>1.22</v>
      </c>
      <c r="Q209" s="14" t="e">
        <f t="shared" si="13"/>
        <v>#DIV/0!</v>
      </c>
      <c r="R209" s="14">
        <f t="shared" si="14"/>
        <v>83403.278688524588</v>
      </c>
      <c r="S209" s="43">
        <f t="shared" si="15"/>
        <v>1.9146758192957893</v>
      </c>
      <c r="T209" s="38">
        <v>0</v>
      </c>
      <c r="U209" s="5" t="s">
        <v>347</v>
      </c>
      <c r="V209" t="s">
        <v>457</v>
      </c>
      <c r="X209" t="s">
        <v>444</v>
      </c>
      <c r="Y209" s="6" t="s">
        <v>32</v>
      </c>
    </row>
    <row r="210" spans="1:25" x14ac:dyDescent="0.25">
      <c r="A210" t="s">
        <v>541</v>
      </c>
      <c r="B210" t="s">
        <v>542</v>
      </c>
      <c r="C210" s="24">
        <v>44813</v>
      </c>
      <c r="D210" s="14">
        <v>457000</v>
      </c>
      <c r="E210" t="s">
        <v>27</v>
      </c>
      <c r="F210" t="s">
        <v>28</v>
      </c>
      <c r="G210" s="14">
        <v>457000</v>
      </c>
      <c r="H210" s="14">
        <v>211400</v>
      </c>
      <c r="I210" s="19">
        <f t="shared" si="12"/>
        <v>46.258205689277901</v>
      </c>
      <c r="J210" s="14">
        <v>422815</v>
      </c>
      <c r="K210" s="14">
        <f>G210-369615</f>
        <v>87385</v>
      </c>
      <c r="L210" s="14">
        <v>53200</v>
      </c>
      <c r="M210" s="29">
        <v>0</v>
      </c>
      <c r="N210" s="33">
        <v>0</v>
      </c>
      <c r="O210" s="38">
        <v>0</v>
      </c>
      <c r="P210" s="38">
        <v>0</v>
      </c>
      <c r="Q210" s="14" t="e">
        <f t="shared" si="13"/>
        <v>#DIV/0!</v>
      </c>
      <c r="R210" s="14" t="e">
        <f t="shared" si="14"/>
        <v>#DIV/0!</v>
      </c>
      <c r="S210" s="43" t="e">
        <f t="shared" si="15"/>
        <v>#DIV/0!</v>
      </c>
      <c r="T210" s="38">
        <v>0</v>
      </c>
      <c r="U210" s="5" t="s">
        <v>347</v>
      </c>
      <c r="V210" t="s">
        <v>543</v>
      </c>
      <c r="X210" t="s">
        <v>444</v>
      </c>
      <c r="Y210" s="6" t="s">
        <v>32</v>
      </c>
    </row>
    <row r="211" spans="1:25" x14ac:dyDescent="0.25">
      <c r="A211" t="s">
        <v>592</v>
      </c>
      <c r="B211" t="s">
        <v>593</v>
      </c>
      <c r="C211" s="24">
        <v>44665</v>
      </c>
      <c r="D211" s="14">
        <v>312000</v>
      </c>
      <c r="E211" t="s">
        <v>27</v>
      </c>
      <c r="F211" t="s">
        <v>28</v>
      </c>
      <c r="G211" s="14">
        <v>312000</v>
      </c>
      <c r="H211" s="14">
        <v>146000</v>
      </c>
      <c r="I211" s="19">
        <f t="shared" si="12"/>
        <v>46.794871794871796</v>
      </c>
      <c r="J211" s="14">
        <v>291917</v>
      </c>
      <c r="K211" s="14">
        <f>G211-205917</f>
        <v>106083</v>
      </c>
      <c r="L211" s="14">
        <v>86000</v>
      </c>
      <c r="M211" s="29">
        <v>0</v>
      </c>
      <c r="N211" s="33">
        <v>0</v>
      </c>
      <c r="O211" s="38">
        <v>0.83</v>
      </c>
      <c r="P211" s="38">
        <v>0.83</v>
      </c>
      <c r="Q211" s="14" t="e">
        <f t="shared" si="13"/>
        <v>#DIV/0!</v>
      </c>
      <c r="R211" s="14">
        <f t="shared" si="14"/>
        <v>127810.84337349398</v>
      </c>
      <c r="S211" s="43">
        <f t="shared" si="15"/>
        <v>2.9341332271233695</v>
      </c>
      <c r="T211" s="38">
        <v>0</v>
      </c>
      <c r="U211" s="5" t="s">
        <v>347</v>
      </c>
      <c r="V211" t="s">
        <v>594</v>
      </c>
      <c r="X211" t="s">
        <v>444</v>
      </c>
      <c r="Y211" s="6" t="s">
        <v>32</v>
      </c>
    </row>
    <row r="212" spans="1:25" x14ac:dyDescent="0.25">
      <c r="A212" t="s">
        <v>441</v>
      </c>
      <c r="B212" t="s">
        <v>442</v>
      </c>
      <c r="C212" s="24">
        <v>44750</v>
      </c>
      <c r="D212" s="14">
        <v>250300</v>
      </c>
      <c r="E212" t="s">
        <v>27</v>
      </c>
      <c r="F212" t="s">
        <v>28</v>
      </c>
      <c r="G212" s="14">
        <v>250300</v>
      </c>
      <c r="H212" s="14">
        <v>125200</v>
      </c>
      <c r="I212" s="19">
        <f t="shared" si="12"/>
        <v>50.019976028765477</v>
      </c>
      <c r="J212" s="14">
        <v>250452</v>
      </c>
      <c r="K212" s="14">
        <f>G212-189452</f>
        <v>60848</v>
      </c>
      <c r="L212" s="14">
        <v>61000</v>
      </c>
      <c r="M212" s="29">
        <v>0</v>
      </c>
      <c r="N212" s="33">
        <v>0</v>
      </c>
      <c r="O212" s="38">
        <v>0.32</v>
      </c>
      <c r="P212" s="38">
        <v>0.32</v>
      </c>
      <c r="Q212" s="14" t="e">
        <f t="shared" si="13"/>
        <v>#DIV/0!</v>
      </c>
      <c r="R212" s="14">
        <f t="shared" si="14"/>
        <v>190150</v>
      </c>
      <c r="S212" s="43">
        <f t="shared" si="15"/>
        <v>4.3652433425160702</v>
      </c>
      <c r="T212" s="38">
        <v>0</v>
      </c>
      <c r="U212" s="5" t="s">
        <v>347</v>
      </c>
      <c r="V212" t="s">
        <v>443</v>
      </c>
      <c r="X212" t="s">
        <v>444</v>
      </c>
      <c r="Y212" s="6" t="s">
        <v>32</v>
      </c>
    </row>
    <row r="213" spans="1:25" x14ac:dyDescent="0.25">
      <c r="A213" t="s">
        <v>693</v>
      </c>
      <c r="B213" t="s">
        <v>694</v>
      </c>
      <c r="C213" s="24">
        <v>44571</v>
      </c>
      <c r="D213" s="14">
        <v>217000</v>
      </c>
      <c r="E213" t="s">
        <v>27</v>
      </c>
      <c r="F213" t="s">
        <v>42</v>
      </c>
      <c r="G213" s="14">
        <v>217000</v>
      </c>
      <c r="H213" s="14">
        <v>69900</v>
      </c>
      <c r="I213" s="19">
        <f t="shared" si="12"/>
        <v>32.211981566820278</v>
      </c>
      <c r="J213" s="14">
        <v>139782</v>
      </c>
      <c r="K213" s="14">
        <f>G213-95892</f>
        <v>121108</v>
      </c>
      <c r="L213" s="14">
        <v>43890</v>
      </c>
      <c r="M213" s="29">
        <v>66</v>
      </c>
      <c r="N213" s="33">
        <v>360</v>
      </c>
      <c r="O213" s="38">
        <v>0.85499999999999998</v>
      </c>
      <c r="P213" s="38">
        <v>0.54500000000000004</v>
      </c>
      <c r="Q213" s="14">
        <f t="shared" si="13"/>
        <v>1834.969696969697</v>
      </c>
      <c r="R213" s="14">
        <f t="shared" si="14"/>
        <v>141646.78362573098</v>
      </c>
      <c r="S213" s="43">
        <f t="shared" si="15"/>
        <v>3.2517627094979566</v>
      </c>
      <c r="T213" s="38">
        <v>66</v>
      </c>
      <c r="U213" s="5" t="s">
        <v>615</v>
      </c>
      <c r="V213" t="s">
        <v>695</v>
      </c>
      <c r="W213" t="s">
        <v>696</v>
      </c>
      <c r="X213" t="s">
        <v>669</v>
      </c>
      <c r="Y213" s="6" t="s">
        <v>32</v>
      </c>
    </row>
    <row r="214" spans="1:25" x14ac:dyDescent="0.25">
      <c r="A214" t="s">
        <v>666</v>
      </c>
      <c r="B214" t="s">
        <v>667</v>
      </c>
      <c r="C214" s="24">
        <v>44713</v>
      </c>
      <c r="D214" s="14">
        <v>82400</v>
      </c>
      <c r="E214" t="s">
        <v>27</v>
      </c>
      <c r="F214" t="s">
        <v>28</v>
      </c>
      <c r="G214" s="14">
        <v>82400</v>
      </c>
      <c r="H214" s="14">
        <v>35500</v>
      </c>
      <c r="I214" s="19">
        <f t="shared" si="12"/>
        <v>43.082524271844655</v>
      </c>
      <c r="J214" s="14">
        <v>70914</v>
      </c>
      <c r="K214" s="14">
        <f>G214-33607</f>
        <v>48793</v>
      </c>
      <c r="L214" s="14">
        <v>37307</v>
      </c>
      <c r="M214" s="29">
        <v>170</v>
      </c>
      <c r="N214" s="33">
        <v>135.800003</v>
      </c>
      <c r="O214" s="38">
        <v>0.53</v>
      </c>
      <c r="P214" s="38">
        <v>0.53</v>
      </c>
      <c r="Q214" s="14">
        <f t="shared" si="13"/>
        <v>287.01764705882351</v>
      </c>
      <c r="R214" s="14">
        <f t="shared" si="14"/>
        <v>92062.264150943389</v>
      </c>
      <c r="S214" s="43">
        <f t="shared" si="15"/>
        <v>2.1134587729784982</v>
      </c>
      <c r="T214" s="38">
        <v>170</v>
      </c>
      <c r="U214" s="5" t="s">
        <v>615</v>
      </c>
      <c r="V214" t="s">
        <v>668</v>
      </c>
      <c r="X214" t="s">
        <v>669</v>
      </c>
      <c r="Y214" s="6" t="s">
        <v>32</v>
      </c>
    </row>
    <row r="215" spans="1:25" x14ac:dyDescent="0.25">
      <c r="A215" t="s">
        <v>647</v>
      </c>
      <c r="B215" t="s">
        <v>648</v>
      </c>
      <c r="C215" s="24">
        <v>45120</v>
      </c>
      <c r="D215" s="14">
        <v>234600</v>
      </c>
      <c r="E215" t="s">
        <v>27</v>
      </c>
      <c r="F215" t="s">
        <v>42</v>
      </c>
      <c r="G215" s="14">
        <v>234600</v>
      </c>
      <c r="H215" s="14">
        <v>72700</v>
      </c>
      <c r="I215" s="19">
        <f t="shared" si="12"/>
        <v>30.988917306052855</v>
      </c>
      <c r="J215" s="14">
        <v>161841</v>
      </c>
      <c r="K215" s="14">
        <f>G215-112341</f>
        <v>122259</v>
      </c>
      <c r="L215" s="14">
        <v>33000</v>
      </c>
      <c r="M215" s="29">
        <v>66</v>
      </c>
      <c r="N215" s="33">
        <v>465</v>
      </c>
      <c r="O215" s="38">
        <v>0.35199999999999998</v>
      </c>
      <c r="P215" s="38">
        <v>0.125</v>
      </c>
      <c r="Q215" s="14">
        <f t="shared" si="13"/>
        <v>1852.409090909091</v>
      </c>
      <c r="R215" s="14">
        <f t="shared" si="14"/>
        <v>347326.70454545459</v>
      </c>
      <c r="S215" s="43">
        <f t="shared" si="15"/>
        <v>7.9735239794640629</v>
      </c>
      <c r="T215" s="38">
        <v>66</v>
      </c>
      <c r="U215" s="5" t="s">
        <v>615</v>
      </c>
      <c r="V215" t="s">
        <v>651</v>
      </c>
      <c r="W215" t="s">
        <v>650</v>
      </c>
      <c r="X215" t="s">
        <v>625</v>
      </c>
      <c r="Y215" s="6" t="s">
        <v>32</v>
      </c>
    </row>
    <row r="216" spans="1:25" x14ac:dyDescent="0.25">
      <c r="A216" t="s">
        <v>659</v>
      </c>
      <c r="B216" t="s">
        <v>660</v>
      </c>
      <c r="C216" s="24">
        <v>45163</v>
      </c>
      <c r="D216" s="14">
        <v>165500</v>
      </c>
      <c r="E216" t="s">
        <v>620</v>
      </c>
      <c r="F216" t="s">
        <v>28</v>
      </c>
      <c r="G216" s="14">
        <v>165500</v>
      </c>
      <c r="H216" s="14">
        <v>52400</v>
      </c>
      <c r="I216" s="19">
        <f t="shared" si="12"/>
        <v>31.661631419939578</v>
      </c>
      <c r="J216" s="14">
        <v>104795</v>
      </c>
      <c r="K216" s="14">
        <f>G216-71795</f>
        <v>93705</v>
      </c>
      <c r="L216" s="14">
        <v>33000</v>
      </c>
      <c r="M216" s="29">
        <v>66</v>
      </c>
      <c r="N216" s="33">
        <v>165</v>
      </c>
      <c r="O216" s="38">
        <v>0.25</v>
      </c>
      <c r="P216" s="38">
        <v>0.25</v>
      </c>
      <c r="Q216" s="14">
        <f t="shared" si="13"/>
        <v>1419.7727272727273</v>
      </c>
      <c r="R216" s="14">
        <f t="shared" si="14"/>
        <v>374820</v>
      </c>
      <c r="S216" s="43">
        <f t="shared" si="15"/>
        <v>8.6046831955922869</v>
      </c>
      <c r="T216" s="38">
        <v>66</v>
      </c>
      <c r="U216" s="5" t="s">
        <v>615</v>
      </c>
      <c r="X216" t="s">
        <v>625</v>
      </c>
      <c r="Y216" s="6" t="s">
        <v>32</v>
      </c>
    </row>
    <row r="217" spans="1:25" x14ac:dyDescent="0.25">
      <c r="A217" t="s">
        <v>671</v>
      </c>
      <c r="B217" t="s">
        <v>672</v>
      </c>
      <c r="C217" s="24">
        <v>44999</v>
      </c>
      <c r="D217" s="14">
        <v>219400</v>
      </c>
      <c r="E217" t="s">
        <v>27</v>
      </c>
      <c r="F217" t="s">
        <v>28</v>
      </c>
      <c r="G217" s="14">
        <v>219400</v>
      </c>
      <c r="H217" s="14">
        <v>73600</v>
      </c>
      <c r="I217" s="19">
        <f t="shared" si="12"/>
        <v>33.546034639927072</v>
      </c>
      <c r="J217" s="14">
        <v>147135</v>
      </c>
      <c r="K217" s="14">
        <f>G217-114135</f>
        <v>105265</v>
      </c>
      <c r="L217" s="14">
        <v>33000</v>
      </c>
      <c r="M217" s="29">
        <v>66</v>
      </c>
      <c r="N217" s="33">
        <v>165</v>
      </c>
      <c r="O217" s="38">
        <v>0.25</v>
      </c>
      <c r="P217" s="38">
        <v>0.25</v>
      </c>
      <c r="Q217" s="14">
        <f t="shared" si="13"/>
        <v>1594.9242424242425</v>
      </c>
      <c r="R217" s="14">
        <f t="shared" si="14"/>
        <v>421060</v>
      </c>
      <c r="S217" s="43">
        <f t="shared" si="15"/>
        <v>9.6662075298438932</v>
      </c>
      <c r="T217" s="38">
        <v>66</v>
      </c>
      <c r="U217" s="5" t="s">
        <v>615</v>
      </c>
      <c r="V217" t="s">
        <v>673</v>
      </c>
      <c r="X217" t="s">
        <v>625</v>
      </c>
      <c r="Y217" s="6" t="s">
        <v>32</v>
      </c>
    </row>
    <row r="218" spans="1:25" x14ac:dyDescent="0.25">
      <c r="A218" t="s">
        <v>647</v>
      </c>
      <c r="B218" t="s">
        <v>648</v>
      </c>
      <c r="C218" s="24">
        <v>44449</v>
      </c>
      <c r="D218" s="14">
        <v>210000</v>
      </c>
      <c r="E218" t="s">
        <v>27</v>
      </c>
      <c r="F218" t="s">
        <v>42</v>
      </c>
      <c r="G218" s="14">
        <v>210000</v>
      </c>
      <c r="H218" s="14">
        <v>72700</v>
      </c>
      <c r="I218" s="19">
        <f t="shared" si="12"/>
        <v>34.61904761904762</v>
      </c>
      <c r="J218" s="14">
        <v>145341</v>
      </c>
      <c r="K218" s="14">
        <f>G218-112341</f>
        <v>97659</v>
      </c>
      <c r="L218" s="14">
        <v>33000</v>
      </c>
      <c r="M218" s="29">
        <v>66</v>
      </c>
      <c r="N218" s="33">
        <v>465</v>
      </c>
      <c r="O218" s="38">
        <v>0.35199999999999998</v>
      </c>
      <c r="P218" s="38">
        <v>0.125</v>
      </c>
      <c r="Q218" s="14">
        <f t="shared" si="13"/>
        <v>1479.6818181818182</v>
      </c>
      <c r="R218" s="14">
        <f t="shared" si="14"/>
        <v>277440.34090909094</v>
      </c>
      <c r="S218" s="43">
        <f t="shared" si="15"/>
        <v>6.3691538317054857</v>
      </c>
      <c r="T218" s="38">
        <v>66</v>
      </c>
      <c r="U218" s="5" t="s">
        <v>615</v>
      </c>
      <c r="V218" t="s">
        <v>649</v>
      </c>
      <c r="W218" t="s">
        <v>650</v>
      </c>
      <c r="X218" t="s">
        <v>625</v>
      </c>
      <c r="Y218" s="6" t="s">
        <v>32</v>
      </c>
    </row>
    <row r="219" spans="1:25" x14ac:dyDescent="0.25">
      <c r="A219" t="s">
        <v>716</v>
      </c>
      <c r="B219" t="s">
        <v>717</v>
      </c>
      <c r="C219" s="24">
        <v>44484</v>
      </c>
      <c r="D219" s="14">
        <v>187000</v>
      </c>
      <c r="E219" t="s">
        <v>27</v>
      </c>
      <c r="F219" t="s">
        <v>28</v>
      </c>
      <c r="G219" s="14">
        <v>187000</v>
      </c>
      <c r="H219" s="14">
        <v>68100</v>
      </c>
      <c r="I219" s="19">
        <f t="shared" si="12"/>
        <v>36.417112299465245</v>
      </c>
      <c r="J219" s="14">
        <v>136188</v>
      </c>
      <c r="K219" s="14">
        <f>G219-103188</f>
        <v>83812</v>
      </c>
      <c r="L219" s="14">
        <v>33000</v>
      </c>
      <c r="M219" s="29">
        <v>66</v>
      </c>
      <c r="N219" s="33">
        <v>165</v>
      </c>
      <c r="O219" s="38">
        <v>0.25</v>
      </c>
      <c r="P219" s="38">
        <v>0.25</v>
      </c>
      <c r="Q219" s="14">
        <f t="shared" si="13"/>
        <v>1269.878787878788</v>
      </c>
      <c r="R219" s="14">
        <f t="shared" si="14"/>
        <v>335248</v>
      </c>
      <c r="S219" s="43">
        <f t="shared" si="15"/>
        <v>7.6962350780532596</v>
      </c>
      <c r="T219" s="38">
        <v>66</v>
      </c>
      <c r="U219" s="5" t="s">
        <v>615</v>
      </c>
      <c r="V219" t="s">
        <v>718</v>
      </c>
      <c r="X219" t="s">
        <v>625</v>
      </c>
      <c r="Y219" s="6" t="s">
        <v>32</v>
      </c>
    </row>
    <row r="220" spans="1:25" x14ac:dyDescent="0.25">
      <c r="A220" t="s">
        <v>635</v>
      </c>
      <c r="B220" t="s">
        <v>636</v>
      </c>
      <c r="C220" s="24">
        <v>44729</v>
      </c>
      <c r="D220" s="14">
        <v>176120</v>
      </c>
      <c r="E220" t="s">
        <v>27</v>
      </c>
      <c r="F220" t="s">
        <v>28</v>
      </c>
      <c r="G220" s="14">
        <v>176120</v>
      </c>
      <c r="H220" s="14">
        <v>64300</v>
      </c>
      <c r="I220" s="19">
        <f t="shared" si="12"/>
        <v>36.509198273904161</v>
      </c>
      <c r="J220" s="14">
        <v>128557</v>
      </c>
      <c r="K220" s="14">
        <f>G220-95557</f>
        <v>80563</v>
      </c>
      <c r="L220" s="14">
        <v>33000</v>
      </c>
      <c r="M220" s="29">
        <v>66</v>
      </c>
      <c r="N220" s="33">
        <v>165</v>
      </c>
      <c r="O220" s="38">
        <v>0.25</v>
      </c>
      <c r="P220" s="38">
        <v>0.25</v>
      </c>
      <c r="Q220" s="14">
        <f t="shared" si="13"/>
        <v>1220.6515151515152</v>
      </c>
      <c r="R220" s="14">
        <f t="shared" si="14"/>
        <v>322252</v>
      </c>
      <c r="S220" s="43">
        <f t="shared" si="15"/>
        <v>7.3978879706152432</v>
      </c>
      <c r="T220" s="38">
        <v>66</v>
      </c>
      <c r="U220" s="5" t="s">
        <v>615</v>
      </c>
      <c r="V220" t="s">
        <v>637</v>
      </c>
      <c r="X220" t="s">
        <v>625</v>
      </c>
      <c r="Y220" s="6" t="s">
        <v>32</v>
      </c>
    </row>
    <row r="221" spans="1:25" x14ac:dyDescent="0.25">
      <c r="A221" t="s">
        <v>644</v>
      </c>
      <c r="B221" t="s">
        <v>645</v>
      </c>
      <c r="C221" s="24">
        <v>44803</v>
      </c>
      <c r="D221" s="14">
        <v>166000</v>
      </c>
      <c r="E221" t="s">
        <v>27</v>
      </c>
      <c r="F221" t="s">
        <v>28</v>
      </c>
      <c r="G221" s="14">
        <v>166000</v>
      </c>
      <c r="H221" s="14">
        <v>61200</v>
      </c>
      <c r="I221" s="19">
        <f t="shared" si="12"/>
        <v>36.867469879518069</v>
      </c>
      <c r="J221" s="14">
        <v>122407</v>
      </c>
      <c r="K221" s="14">
        <f>G221-89407</f>
        <v>76593</v>
      </c>
      <c r="L221" s="14">
        <v>33000</v>
      </c>
      <c r="M221" s="29">
        <v>66</v>
      </c>
      <c r="N221" s="33">
        <v>165</v>
      </c>
      <c r="O221" s="38">
        <v>0.25</v>
      </c>
      <c r="P221" s="38">
        <v>0.25</v>
      </c>
      <c r="Q221" s="14">
        <f t="shared" si="13"/>
        <v>1160.5</v>
      </c>
      <c r="R221" s="14">
        <f t="shared" si="14"/>
        <v>306372</v>
      </c>
      <c r="S221" s="43">
        <f t="shared" si="15"/>
        <v>7.0333333333333332</v>
      </c>
      <c r="T221" s="38">
        <v>66</v>
      </c>
      <c r="U221" s="5" t="s">
        <v>615</v>
      </c>
      <c r="V221" t="s">
        <v>646</v>
      </c>
      <c r="X221" t="s">
        <v>625</v>
      </c>
      <c r="Y221" s="6" t="s">
        <v>32</v>
      </c>
    </row>
    <row r="222" spans="1:25" x14ac:dyDescent="0.25">
      <c r="A222" t="s">
        <v>622</v>
      </c>
      <c r="B222" t="s">
        <v>623</v>
      </c>
      <c r="C222" s="24">
        <v>44902</v>
      </c>
      <c r="D222" s="14">
        <v>165000</v>
      </c>
      <c r="E222" t="s">
        <v>27</v>
      </c>
      <c r="F222" t="s">
        <v>28</v>
      </c>
      <c r="G222" s="14">
        <v>165000</v>
      </c>
      <c r="H222" s="14">
        <v>65100</v>
      </c>
      <c r="I222" s="19">
        <f t="shared" si="12"/>
        <v>39.454545454545453</v>
      </c>
      <c r="J222" s="14">
        <v>130115</v>
      </c>
      <c r="K222" s="14">
        <f>G222-88865</f>
        <v>76135</v>
      </c>
      <c r="L222" s="14">
        <v>41250</v>
      </c>
      <c r="M222" s="29">
        <v>82.5</v>
      </c>
      <c r="N222" s="33">
        <v>264</v>
      </c>
      <c r="O222" s="38">
        <v>0.5</v>
      </c>
      <c r="P222" s="38">
        <v>0.5</v>
      </c>
      <c r="Q222" s="14">
        <f t="shared" si="13"/>
        <v>922.84848484848487</v>
      </c>
      <c r="R222" s="14">
        <f t="shared" si="14"/>
        <v>152270</v>
      </c>
      <c r="S222" s="43">
        <f t="shared" si="15"/>
        <v>3.4956382001836546</v>
      </c>
      <c r="T222" s="38">
        <v>82.5</v>
      </c>
      <c r="U222" s="5" t="s">
        <v>615</v>
      </c>
      <c r="V222" t="s">
        <v>624</v>
      </c>
      <c r="X222" t="s">
        <v>625</v>
      </c>
      <c r="Y222" s="6" t="s">
        <v>32</v>
      </c>
    </row>
    <row r="223" spans="1:25" x14ac:dyDescent="0.25">
      <c r="A223" t="s">
        <v>700</v>
      </c>
      <c r="B223" t="s">
        <v>701</v>
      </c>
      <c r="C223" s="24">
        <v>44533</v>
      </c>
      <c r="D223" s="14">
        <v>165000</v>
      </c>
      <c r="E223" t="s">
        <v>27</v>
      </c>
      <c r="F223" t="s">
        <v>28</v>
      </c>
      <c r="G223" s="14">
        <v>165000</v>
      </c>
      <c r="H223" s="14">
        <v>67200</v>
      </c>
      <c r="I223" s="19">
        <f t="shared" si="12"/>
        <v>40.727272727272727</v>
      </c>
      <c r="J223" s="14">
        <v>134310</v>
      </c>
      <c r="K223" s="14">
        <f>G223-101310</f>
        <v>63690</v>
      </c>
      <c r="L223" s="14">
        <v>33000</v>
      </c>
      <c r="M223" s="29">
        <v>66</v>
      </c>
      <c r="N223" s="33">
        <v>198</v>
      </c>
      <c r="O223" s="38">
        <v>0.3</v>
      </c>
      <c r="P223" s="38">
        <v>0.3</v>
      </c>
      <c r="Q223" s="14">
        <f t="shared" si="13"/>
        <v>965</v>
      </c>
      <c r="R223" s="14">
        <f t="shared" si="14"/>
        <v>212300</v>
      </c>
      <c r="S223" s="43">
        <f t="shared" si="15"/>
        <v>4.8737373737373737</v>
      </c>
      <c r="T223" s="38">
        <v>66</v>
      </c>
      <c r="U223" s="5" t="s">
        <v>615</v>
      </c>
      <c r="V223" t="s">
        <v>702</v>
      </c>
      <c r="X223" t="s">
        <v>625</v>
      </c>
      <c r="Y223" s="6" t="s">
        <v>32</v>
      </c>
    </row>
    <row r="224" spans="1:25" x14ac:dyDescent="0.25">
      <c r="A224" t="s">
        <v>655</v>
      </c>
      <c r="B224" t="s">
        <v>656</v>
      </c>
      <c r="C224" s="24">
        <v>45063</v>
      </c>
      <c r="D224" s="14">
        <v>189000</v>
      </c>
      <c r="E224" t="s">
        <v>27</v>
      </c>
      <c r="F224" t="s">
        <v>28</v>
      </c>
      <c r="G224" s="14">
        <v>189000</v>
      </c>
      <c r="H224" s="14">
        <v>78600</v>
      </c>
      <c r="I224" s="19">
        <f t="shared" si="12"/>
        <v>41.587301587301589</v>
      </c>
      <c r="J224" s="14">
        <v>157173</v>
      </c>
      <c r="K224" s="14">
        <f>G224-115923</f>
        <v>73077</v>
      </c>
      <c r="L224" s="14">
        <v>41250</v>
      </c>
      <c r="M224" s="29">
        <v>82.5</v>
      </c>
      <c r="N224" s="33">
        <v>132</v>
      </c>
      <c r="O224" s="38">
        <v>0.25</v>
      </c>
      <c r="P224" s="38">
        <v>0.25</v>
      </c>
      <c r="Q224" s="14">
        <f t="shared" si="13"/>
        <v>885.78181818181815</v>
      </c>
      <c r="R224" s="14">
        <f t="shared" si="14"/>
        <v>292308</v>
      </c>
      <c r="S224" s="43">
        <f t="shared" si="15"/>
        <v>6.7104683195592285</v>
      </c>
      <c r="T224" s="38">
        <v>82.5</v>
      </c>
      <c r="U224" s="5" t="s">
        <v>615</v>
      </c>
      <c r="V224" t="s">
        <v>658</v>
      </c>
      <c r="X224" t="s">
        <v>625</v>
      </c>
      <c r="Y224" s="6" t="s">
        <v>32</v>
      </c>
    </row>
    <row r="225" spans="1:25" x14ac:dyDescent="0.25">
      <c r="A225" t="s">
        <v>697</v>
      </c>
      <c r="B225" t="s">
        <v>698</v>
      </c>
      <c r="C225" s="24">
        <v>45084</v>
      </c>
      <c r="D225" s="14">
        <v>170000</v>
      </c>
      <c r="E225" t="s">
        <v>27</v>
      </c>
      <c r="F225" t="s">
        <v>28</v>
      </c>
      <c r="G225" s="14">
        <v>170000</v>
      </c>
      <c r="H225" s="14">
        <v>71400</v>
      </c>
      <c r="I225" s="19">
        <f t="shared" si="12"/>
        <v>42</v>
      </c>
      <c r="J225" s="14">
        <v>142714</v>
      </c>
      <c r="K225" s="14">
        <f>G225-106714</f>
        <v>63286</v>
      </c>
      <c r="L225" s="14">
        <v>36000</v>
      </c>
      <c r="M225" s="29">
        <v>72</v>
      </c>
      <c r="N225" s="33">
        <v>165</v>
      </c>
      <c r="O225" s="38">
        <v>0.27300000000000002</v>
      </c>
      <c r="P225" s="38">
        <v>0.27300000000000002</v>
      </c>
      <c r="Q225" s="14">
        <f t="shared" si="13"/>
        <v>878.97222222222217</v>
      </c>
      <c r="R225" s="14">
        <f t="shared" si="14"/>
        <v>231816.8498168498</v>
      </c>
      <c r="S225" s="43">
        <f t="shared" si="15"/>
        <v>5.3217825945098669</v>
      </c>
      <c r="T225" s="38">
        <v>72</v>
      </c>
      <c r="U225" s="5" t="s">
        <v>615</v>
      </c>
      <c r="V225" t="s">
        <v>699</v>
      </c>
      <c r="X225" t="s">
        <v>625</v>
      </c>
      <c r="Y225" s="6" t="s">
        <v>32</v>
      </c>
    </row>
    <row r="226" spans="1:25" x14ac:dyDescent="0.25">
      <c r="A226" t="s">
        <v>719</v>
      </c>
      <c r="B226" t="s">
        <v>720</v>
      </c>
      <c r="C226" s="24">
        <v>44728</v>
      </c>
      <c r="D226" s="14">
        <v>148000</v>
      </c>
      <c r="E226" t="s">
        <v>27</v>
      </c>
      <c r="F226" t="s">
        <v>28</v>
      </c>
      <c r="G226" s="14">
        <v>148000</v>
      </c>
      <c r="H226" s="14">
        <v>62600</v>
      </c>
      <c r="I226" s="19">
        <f t="shared" si="12"/>
        <v>42.297297297297298</v>
      </c>
      <c r="J226" s="14">
        <v>125243</v>
      </c>
      <c r="K226" s="14">
        <f>G226-92243</f>
        <v>55757</v>
      </c>
      <c r="L226" s="14">
        <v>33000</v>
      </c>
      <c r="M226" s="29">
        <v>66</v>
      </c>
      <c r="N226" s="33">
        <v>165</v>
      </c>
      <c r="O226" s="38">
        <v>0.25</v>
      </c>
      <c r="P226" s="38">
        <v>0.25</v>
      </c>
      <c r="Q226" s="14">
        <f t="shared" si="13"/>
        <v>844.80303030303025</v>
      </c>
      <c r="R226" s="14">
        <f t="shared" si="14"/>
        <v>223028</v>
      </c>
      <c r="S226" s="43">
        <f t="shared" si="15"/>
        <v>5.1200183654729106</v>
      </c>
      <c r="T226" s="38">
        <v>66</v>
      </c>
      <c r="U226" s="5" t="s">
        <v>615</v>
      </c>
      <c r="V226" t="s">
        <v>721</v>
      </c>
      <c r="X226" t="s">
        <v>625</v>
      </c>
      <c r="Y226" s="6" t="s">
        <v>32</v>
      </c>
    </row>
    <row r="227" spans="1:25" x14ac:dyDescent="0.25">
      <c r="A227" t="s">
        <v>706</v>
      </c>
      <c r="B227" t="s">
        <v>707</v>
      </c>
      <c r="C227" s="24">
        <v>44708</v>
      </c>
      <c r="D227" s="14">
        <v>150000</v>
      </c>
      <c r="E227" t="s">
        <v>27</v>
      </c>
      <c r="F227" t="s">
        <v>28</v>
      </c>
      <c r="G227" s="14">
        <v>150000</v>
      </c>
      <c r="H227" s="14">
        <v>64400</v>
      </c>
      <c r="I227" s="19">
        <f t="shared" si="12"/>
        <v>42.933333333333337</v>
      </c>
      <c r="J227" s="14">
        <v>128723</v>
      </c>
      <c r="K227" s="14">
        <f>G227-95723</f>
        <v>54277</v>
      </c>
      <c r="L227" s="14">
        <v>33000</v>
      </c>
      <c r="M227" s="29">
        <v>66</v>
      </c>
      <c r="N227" s="33">
        <v>290.39999399999999</v>
      </c>
      <c r="O227" s="38">
        <v>0.44</v>
      </c>
      <c r="P227" s="38">
        <v>0.44</v>
      </c>
      <c r="Q227" s="14">
        <f t="shared" si="13"/>
        <v>822.37878787878788</v>
      </c>
      <c r="R227" s="14">
        <f t="shared" si="14"/>
        <v>123356.81818181818</v>
      </c>
      <c r="S227" s="43">
        <f t="shared" si="15"/>
        <v>2.8318828783704815</v>
      </c>
      <c r="T227" s="38">
        <v>66</v>
      </c>
      <c r="U227" s="5" t="s">
        <v>615</v>
      </c>
      <c r="V227" t="s">
        <v>708</v>
      </c>
      <c r="X227" t="s">
        <v>625</v>
      </c>
      <c r="Y227" s="6" t="s">
        <v>32</v>
      </c>
    </row>
    <row r="228" spans="1:25" x14ac:dyDescent="0.25">
      <c r="A228" t="s">
        <v>626</v>
      </c>
      <c r="B228" t="s">
        <v>627</v>
      </c>
      <c r="C228" s="24">
        <v>44918</v>
      </c>
      <c r="D228" s="14">
        <v>223510</v>
      </c>
      <c r="E228" t="s">
        <v>27</v>
      </c>
      <c r="F228" t="s">
        <v>28</v>
      </c>
      <c r="G228" s="14">
        <v>223510</v>
      </c>
      <c r="H228" s="14">
        <v>97700</v>
      </c>
      <c r="I228" s="19">
        <f t="shared" si="12"/>
        <v>43.711690752091634</v>
      </c>
      <c r="J228" s="14">
        <v>195319</v>
      </c>
      <c r="K228" s="14">
        <f>G228-129319</f>
        <v>94191</v>
      </c>
      <c r="L228" s="14">
        <v>66000</v>
      </c>
      <c r="M228" s="29">
        <v>132</v>
      </c>
      <c r="N228" s="33">
        <v>165</v>
      </c>
      <c r="O228" s="38">
        <v>0.5</v>
      </c>
      <c r="P228" s="38">
        <v>0.5</v>
      </c>
      <c r="Q228" s="14">
        <f t="shared" si="13"/>
        <v>713.56818181818187</v>
      </c>
      <c r="R228" s="14">
        <f t="shared" si="14"/>
        <v>188382</v>
      </c>
      <c r="S228" s="43">
        <f t="shared" si="15"/>
        <v>4.3246556473829205</v>
      </c>
      <c r="T228" s="38">
        <v>132</v>
      </c>
      <c r="U228" s="5" t="s">
        <v>615</v>
      </c>
      <c r="V228" t="s">
        <v>628</v>
      </c>
      <c r="X228" t="s">
        <v>625</v>
      </c>
      <c r="Y228" s="6" t="s">
        <v>32</v>
      </c>
    </row>
    <row r="229" spans="1:25" x14ac:dyDescent="0.25">
      <c r="A229" t="s">
        <v>655</v>
      </c>
      <c r="B229" t="s">
        <v>656</v>
      </c>
      <c r="C229" s="24">
        <v>45020</v>
      </c>
      <c r="D229" s="14">
        <v>176500</v>
      </c>
      <c r="E229" t="s">
        <v>27</v>
      </c>
      <c r="F229" t="s">
        <v>28</v>
      </c>
      <c r="G229" s="14">
        <v>176500</v>
      </c>
      <c r="H229" s="14">
        <v>78600</v>
      </c>
      <c r="I229" s="19">
        <f t="shared" si="12"/>
        <v>44.532577903682721</v>
      </c>
      <c r="J229" s="14">
        <v>157173</v>
      </c>
      <c r="K229" s="14">
        <f>G229-115923</f>
        <v>60577</v>
      </c>
      <c r="L229" s="14">
        <v>41250</v>
      </c>
      <c r="M229" s="29">
        <v>82.5</v>
      </c>
      <c r="N229" s="33">
        <v>132</v>
      </c>
      <c r="O229" s="38">
        <v>0.25</v>
      </c>
      <c r="P229" s="38">
        <v>0.25</v>
      </c>
      <c r="Q229" s="14">
        <f t="shared" si="13"/>
        <v>734.26666666666665</v>
      </c>
      <c r="R229" s="14">
        <f t="shared" si="14"/>
        <v>242308</v>
      </c>
      <c r="S229" s="43">
        <f t="shared" si="15"/>
        <v>5.5626262626262628</v>
      </c>
      <c r="T229" s="38">
        <v>82.5</v>
      </c>
      <c r="U229" s="5" t="s">
        <v>615</v>
      </c>
      <c r="V229" t="s">
        <v>657</v>
      </c>
      <c r="X229" t="s">
        <v>625</v>
      </c>
      <c r="Y229" s="6" t="s">
        <v>32</v>
      </c>
    </row>
    <row r="230" spans="1:25" x14ac:dyDescent="0.25">
      <c r="A230" t="s">
        <v>663</v>
      </c>
      <c r="B230" t="s">
        <v>664</v>
      </c>
      <c r="C230" s="24">
        <v>44769</v>
      </c>
      <c r="D230" s="14">
        <v>255000</v>
      </c>
      <c r="E230" t="s">
        <v>27</v>
      </c>
      <c r="F230" t="s">
        <v>28</v>
      </c>
      <c r="G230" s="14">
        <v>255000</v>
      </c>
      <c r="H230" s="14">
        <v>115400</v>
      </c>
      <c r="I230" s="19">
        <f t="shared" si="12"/>
        <v>45.254901960784316</v>
      </c>
      <c r="J230" s="14">
        <v>230819</v>
      </c>
      <c r="K230" s="14">
        <f>G230-188319</f>
        <v>66681</v>
      </c>
      <c r="L230" s="14">
        <v>42500</v>
      </c>
      <c r="M230" s="29">
        <v>85</v>
      </c>
      <c r="N230" s="33">
        <v>143.5</v>
      </c>
      <c r="O230" s="38">
        <v>0.28000000000000003</v>
      </c>
      <c r="P230" s="38">
        <v>0.28000000000000003</v>
      </c>
      <c r="Q230" s="14">
        <f t="shared" si="13"/>
        <v>784.48235294117649</v>
      </c>
      <c r="R230" s="14">
        <f t="shared" si="14"/>
        <v>238146.42857142855</v>
      </c>
      <c r="S230" s="43">
        <f t="shared" si="15"/>
        <v>5.4670897284533639</v>
      </c>
      <c r="T230" s="38">
        <v>85</v>
      </c>
      <c r="U230" s="5" t="s">
        <v>615</v>
      </c>
      <c r="V230" t="s">
        <v>665</v>
      </c>
      <c r="X230" t="s">
        <v>625</v>
      </c>
      <c r="Y230" s="6" t="s">
        <v>32</v>
      </c>
    </row>
    <row r="231" spans="1:25" x14ac:dyDescent="0.25">
      <c r="A231" t="s">
        <v>661</v>
      </c>
      <c r="B231" t="s">
        <v>662</v>
      </c>
      <c r="C231" s="24">
        <v>45163</v>
      </c>
      <c r="D231" s="14">
        <v>175000</v>
      </c>
      <c r="E231" t="s">
        <v>620</v>
      </c>
      <c r="F231" t="s">
        <v>28</v>
      </c>
      <c r="G231" s="14">
        <v>175000</v>
      </c>
      <c r="H231" s="14">
        <v>80400</v>
      </c>
      <c r="I231" s="19">
        <f t="shared" si="12"/>
        <v>45.942857142857143</v>
      </c>
      <c r="J231" s="14">
        <v>160885</v>
      </c>
      <c r="K231" s="14">
        <f>G231-111385</f>
        <v>63615</v>
      </c>
      <c r="L231" s="14">
        <v>49500</v>
      </c>
      <c r="M231" s="29">
        <v>99</v>
      </c>
      <c r="N231" s="33">
        <v>165</v>
      </c>
      <c r="O231" s="38">
        <v>0.375</v>
      </c>
      <c r="P231" s="38">
        <v>0.375</v>
      </c>
      <c r="Q231" s="14">
        <f t="shared" si="13"/>
        <v>642.57575757575762</v>
      </c>
      <c r="R231" s="14">
        <f t="shared" si="14"/>
        <v>169640</v>
      </c>
      <c r="S231" s="43">
        <f t="shared" si="15"/>
        <v>3.8943985307621669</v>
      </c>
      <c r="T231" s="38">
        <v>99</v>
      </c>
      <c r="U231" s="5" t="s">
        <v>615</v>
      </c>
      <c r="X231" t="s">
        <v>625</v>
      </c>
      <c r="Y231" s="6" t="s">
        <v>32</v>
      </c>
    </row>
    <row r="232" spans="1:25" x14ac:dyDescent="0.25">
      <c r="A232" t="s">
        <v>632</v>
      </c>
      <c r="B232" t="s">
        <v>633</v>
      </c>
      <c r="C232" s="24">
        <v>44706</v>
      </c>
      <c r="D232" s="14">
        <v>115000</v>
      </c>
      <c r="E232" t="s">
        <v>27</v>
      </c>
      <c r="F232" t="s">
        <v>28</v>
      </c>
      <c r="G232" s="14">
        <v>115000</v>
      </c>
      <c r="H232" s="14">
        <v>57500</v>
      </c>
      <c r="I232" s="19">
        <f t="shared" si="12"/>
        <v>50</v>
      </c>
      <c r="J232" s="14">
        <v>115053</v>
      </c>
      <c r="K232" s="14">
        <f>G232-82053</f>
        <v>32947</v>
      </c>
      <c r="L232" s="14">
        <v>33000</v>
      </c>
      <c r="M232" s="29">
        <v>66</v>
      </c>
      <c r="N232" s="33">
        <v>165</v>
      </c>
      <c r="O232" s="38">
        <v>0.25</v>
      </c>
      <c r="P232" s="38">
        <v>0.25</v>
      </c>
      <c r="Q232" s="14">
        <f t="shared" si="13"/>
        <v>499.19696969696969</v>
      </c>
      <c r="R232" s="14">
        <f t="shared" si="14"/>
        <v>131788</v>
      </c>
      <c r="S232" s="43">
        <f t="shared" si="15"/>
        <v>3.0254361799816345</v>
      </c>
      <c r="T232" s="38">
        <v>66</v>
      </c>
      <c r="U232" s="5" t="s">
        <v>615</v>
      </c>
      <c r="V232" t="s">
        <v>634</v>
      </c>
      <c r="X232" t="s">
        <v>625</v>
      </c>
      <c r="Y232" s="6" t="s">
        <v>32</v>
      </c>
    </row>
    <row r="233" spans="1:25" x14ac:dyDescent="0.25">
      <c r="A233" t="s">
        <v>641</v>
      </c>
      <c r="B233" t="s">
        <v>642</v>
      </c>
      <c r="C233" s="24">
        <v>44575</v>
      </c>
      <c r="D233" s="14">
        <v>90000</v>
      </c>
      <c r="E233" t="s">
        <v>27</v>
      </c>
      <c r="F233" t="s">
        <v>28</v>
      </c>
      <c r="G233" s="14">
        <v>90000</v>
      </c>
      <c r="H233" s="14">
        <v>46200</v>
      </c>
      <c r="I233" s="19">
        <f t="shared" si="12"/>
        <v>51.333333333333329</v>
      </c>
      <c r="J233" s="14">
        <v>92489</v>
      </c>
      <c r="K233" s="14">
        <f>G233-59489</f>
        <v>30511</v>
      </c>
      <c r="L233" s="14">
        <v>33000</v>
      </c>
      <c r="M233" s="29">
        <v>66</v>
      </c>
      <c r="N233" s="33">
        <v>165</v>
      </c>
      <c r="O233" s="38">
        <v>0.25</v>
      </c>
      <c r="P233" s="38">
        <v>0.25</v>
      </c>
      <c r="Q233" s="14">
        <f t="shared" si="13"/>
        <v>462.28787878787881</v>
      </c>
      <c r="R233" s="14">
        <f t="shared" si="14"/>
        <v>122044</v>
      </c>
      <c r="S233" s="43">
        <f t="shared" si="15"/>
        <v>2.8017447199265382</v>
      </c>
      <c r="T233" s="38">
        <v>66</v>
      </c>
      <c r="U233" s="5" t="s">
        <v>615</v>
      </c>
      <c r="V233" t="s">
        <v>643</v>
      </c>
      <c r="X233" t="s">
        <v>625</v>
      </c>
      <c r="Y233" s="6" t="s">
        <v>32</v>
      </c>
    </row>
    <row r="234" spans="1:25" x14ac:dyDescent="0.25">
      <c r="A234" t="s">
        <v>629</v>
      </c>
      <c r="B234" t="s">
        <v>630</v>
      </c>
      <c r="C234" s="24">
        <v>44495</v>
      </c>
      <c r="D234" s="14">
        <v>144900</v>
      </c>
      <c r="E234" t="s">
        <v>27</v>
      </c>
      <c r="F234" t="s">
        <v>28</v>
      </c>
      <c r="G234" s="14">
        <v>144900</v>
      </c>
      <c r="H234" s="14">
        <v>74500</v>
      </c>
      <c r="I234" s="19">
        <f t="shared" si="12"/>
        <v>51.414768806073155</v>
      </c>
      <c r="J234" s="14">
        <v>149012</v>
      </c>
      <c r="K234" s="14">
        <f>G234-104012</f>
        <v>40888</v>
      </c>
      <c r="L234" s="14">
        <v>45000</v>
      </c>
      <c r="M234" s="29">
        <v>90</v>
      </c>
      <c r="N234" s="33">
        <v>165</v>
      </c>
      <c r="O234" s="38">
        <v>0.34100000000000003</v>
      </c>
      <c r="P234" s="38">
        <v>0.34100000000000003</v>
      </c>
      <c r="Q234" s="14">
        <f t="shared" si="13"/>
        <v>454.31111111111113</v>
      </c>
      <c r="R234" s="14">
        <f t="shared" si="14"/>
        <v>119906.15835777126</v>
      </c>
      <c r="S234" s="43">
        <f t="shared" si="15"/>
        <v>2.7526666289662822</v>
      </c>
      <c r="T234" s="38">
        <v>90</v>
      </c>
      <c r="U234" s="5" t="s">
        <v>615</v>
      </c>
      <c r="V234" t="s">
        <v>631</v>
      </c>
      <c r="X234" t="s">
        <v>625</v>
      </c>
      <c r="Y234" s="6" t="s">
        <v>32</v>
      </c>
    </row>
    <row r="235" spans="1:25" x14ac:dyDescent="0.25">
      <c r="A235" t="s">
        <v>638</v>
      </c>
      <c r="B235" t="s">
        <v>639</v>
      </c>
      <c r="C235" s="24">
        <v>44908</v>
      </c>
      <c r="D235" s="14">
        <v>110000</v>
      </c>
      <c r="E235" t="s">
        <v>27</v>
      </c>
      <c r="F235" t="s">
        <v>28</v>
      </c>
      <c r="G235" s="14">
        <v>110000</v>
      </c>
      <c r="H235" s="14">
        <v>59900</v>
      </c>
      <c r="I235" s="19">
        <f t="shared" si="12"/>
        <v>54.454545454545453</v>
      </c>
      <c r="J235" s="14">
        <v>119864</v>
      </c>
      <c r="K235" s="14">
        <f>G235-86864</f>
        <v>23136</v>
      </c>
      <c r="L235" s="14">
        <v>33000</v>
      </c>
      <c r="M235" s="29">
        <v>66</v>
      </c>
      <c r="N235" s="33">
        <v>165</v>
      </c>
      <c r="O235" s="38">
        <v>0.25</v>
      </c>
      <c r="P235" s="38">
        <v>0.25</v>
      </c>
      <c r="Q235" s="14">
        <f t="shared" si="13"/>
        <v>350.54545454545456</v>
      </c>
      <c r="R235" s="14">
        <f t="shared" si="14"/>
        <v>92544</v>
      </c>
      <c r="S235" s="43">
        <f t="shared" si="15"/>
        <v>2.1245179063360879</v>
      </c>
      <c r="T235" s="38">
        <v>66</v>
      </c>
      <c r="U235" s="5" t="s">
        <v>615</v>
      </c>
      <c r="V235" t="s">
        <v>640</v>
      </c>
      <c r="X235" t="s">
        <v>625</v>
      </c>
      <c r="Y235" s="6" t="s">
        <v>32</v>
      </c>
    </row>
    <row r="236" spans="1:25" x14ac:dyDescent="0.25">
      <c r="A236" t="s">
        <v>713</v>
      </c>
      <c r="B236" t="s">
        <v>714</v>
      </c>
      <c r="C236" s="24">
        <v>44544</v>
      </c>
      <c r="D236" s="14">
        <v>129900</v>
      </c>
      <c r="E236" t="s">
        <v>27</v>
      </c>
      <c r="F236" t="s">
        <v>28</v>
      </c>
      <c r="G236" s="14">
        <v>129900</v>
      </c>
      <c r="H236" s="14">
        <v>72800</v>
      </c>
      <c r="I236" s="19">
        <f t="shared" si="12"/>
        <v>56.043110084680528</v>
      </c>
      <c r="J236" s="14">
        <v>145571</v>
      </c>
      <c r="K236" s="14">
        <f>G236-97321</f>
        <v>32579</v>
      </c>
      <c r="L236" s="14">
        <v>48250</v>
      </c>
      <c r="M236" s="29">
        <v>96.5</v>
      </c>
      <c r="N236" s="33">
        <v>189.5</v>
      </c>
      <c r="O236" s="38">
        <v>0.42</v>
      </c>
      <c r="P236" s="38">
        <v>0.42</v>
      </c>
      <c r="Q236" s="14">
        <f t="shared" si="13"/>
        <v>337.6062176165803</v>
      </c>
      <c r="R236" s="14">
        <f t="shared" si="14"/>
        <v>77569.047619047618</v>
      </c>
      <c r="S236" s="43">
        <f t="shared" si="15"/>
        <v>1.7807403034675762</v>
      </c>
      <c r="T236" s="38">
        <v>96.5</v>
      </c>
      <c r="U236" s="5" t="s">
        <v>615</v>
      </c>
      <c r="V236" t="s">
        <v>715</v>
      </c>
      <c r="X236" t="s">
        <v>625</v>
      </c>
      <c r="Y236" s="6" t="s">
        <v>32</v>
      </c>
    </row>
    <row r="237" spans="1:25" x14ac:dyDescent="0.25">
      <c r="A237" t="s">
        <v>652</v>
      </c>
      <c r="B237" t="s">
        <v>653</v>
      </c>
      <c r="C237" s="24">
        <v>44358</v>
      </c>
      <c r="D237" s="14">
        <v>139900</v>
      </c>
      <c r="E237" t="s">
        <v>27</v>
      </c>
      <c r="F237" t="s">
        <v>28</v>
      </c>
      <c r="G237" s="14">
        <v>139900</v>
      </c>
      <c r="H237" s="14">
        <v>81500</v>
      </c>
      <c r="I237" s="19">
        <f t="shared" si="12"/>
        <v>58.255897069335241</v>
      </c>
      <c r="J237" s="14">
        <v>163050</v>
      </c>
      <c r="K237" s="14">
        <f>G237-130050</f>
        <v>9850</v>
      </c>
      <c r="L237" s="14">
        <v>33000</v>
      </c>
      <c r="M237" s="29">
        <v>66</v>
      </c>
      <c r="N237" s="33">
        <v>198</v>
      </c>
      <c r="O237" s="38">
        <v>0.3</v>
      </c>
      <c r="P237" s="38">
        <v>0.3</v>
      </c>
      <c r="Q237" s="14">
        <f t="shared" si="13"/>
        <v>149.24242424242425</v>
      </c>
      <c r="R237" s="14">
        <f t="shared" si="14"/>
        <v>32833.333333333336</v>
      </c>
      <c r="S237" s="43">
        <f t="shared" si="15"/>
        <v>0.75374961738598112</v>
      </c>
      <c r="T237" s="38">
        <v>66</v>
      </c>
      <c r="U237" s="5" t="s">
        <v>615</v>
      </c>
      <c r="V237" t="s">
        <v>654</v>
      </c>
      <c r="X237" t="s">
        <v>625</v>
      </c>
      <c r="Y237" s="6" t="s">
        <v>32</v>
      </c>
    </row>
    <row r="238" spans="1:25" x14ac:dyDescent="0.25">
      <c r="A238" t="s">
        <v>703</v>
      </c>
      <c r="B238" t="s">
        <v>704</v>
      </c>
      <c r="C238" s="24">
        <v>44832</v>
      </c>
      <c r="D238" s="14">
        <v>140000</v>
      </c>
      <c r="E238" t="s">
        <v>27</v>
      </c>
      <c r="F238" t="s">
        <v>28</v>
      </c>
      <c r="G238" s="14">
        <v>140000</v>
      </c>
      <c r="H238" s="14">
        <v>84800</v>
      </c>
      <c r="I238" s="19">
        <f t="shared" si="12"/>
        <v>60.571428571428577</v>
      </c>
      <c r="J238" s="14">
        <v>169584</v>
      </c>
      <c r="K238" s="14">
        <f>G238-99834</f>
        <v>40166</v>
      </c>
      <c r="L238" s="14">
        <v>69750</v>
      </c>
      <c r="M238" s="29">
        <v>139.5</v>
      </c>
      <c r="N238" s="33">
        <v>140.5</v>
      </c>
      <c r="O238" s="38">
        <v>0.45</v>
      </c>
      <c r="P238" s="38">
        <v>0.45</v>
      </c>
      <c r="Q238" s="14">
        <f t="shared" si="13"/>
        <v>287.92831541218641</v>
      </c>
      <c r="R238" s="14">
        <f t="shared" si="14"/>
        <v>89257.777777777781</v>
      </c>
      <c r="S238" s="43">
        <f t="shared" si="15"/>
        <v>2.0490766248342007</v>
      </c>
      <c r="T238" s="38">
        <v>139.5</v>
      </c>
      <c r="U238" s="5" t="s">
        <v>615</v>
      </c>
      <c r="V238" t="s">
        <v>705</v>
      </c>
      <c r="X238" t="s">
        <v>625</v>
      </c>
      <c r="Y238" s="6" t="s">
        <v>32</v>
      </c>
    </row>
    <row r="239" spans="1:25" x14ac:dyDescent="0.25">
      <c r="A239" t="s">
        <v>690</v>
      </c>
      <c r="B239" t="s">
        <v>691</v>
      </c>
      <c r="C239" s="24">
        <v>44365</v>
      </c>
      <c r="D239" s="14">
        <v>500000</v>
      </c>
      <c r="E239" t="s">
        <v>27</v>
      </c>
      <c r="F239" t="s">
        <v>28</v>
      </c>
      <c r="G239" s="14">
        <v>500000</v>
      </c>
      <c r="H239" s="14">
        <v>153600</v>
      </c>
      <c r="I239" s="19">
        <f t="shared" si="12"/>
        <v>30.72</v>
      </c>
      <c r="J239" s="14">
        <v>307277</v>
      </c>
      <c r="K239" s="14">
        <f>G239-199310</f>
        <v>300690</v>
      </c>
      <c r="L239" s="14">
        <v>107967</v>
      </c>
      <c r="M239" s="29">
        <v>0</v>
      </c>
      <c r="N239" s="33">
        <v>0</v>
      </c>
      <c r="O239" s="38">
        <v>8.7799999999999994</v>
      </c>
      <c r="P239" s="38">
        <v>8.7799999999999994</v>
      </c>
      <c r="Q239" s="14" t="e">
        <f t="shared" si="13"/>
        <v>#DIV/0!</v>
      </c>
      <c r="R239" s="14">
        <f t="shared" si="14"/>
        <v>34247.152619589979</v>
      </c>
      <c r="S239" s="43">
        <f t="shared" si="15"/>
        <v>0.78620644213934754</v>
      </c>
      <c r="T239" s="38">
        <v>0</v>
      </c>
      <c r="U239" s="5" t="s">
        <v>615</v>
      </c>
      <c r="V239" t="s">
        <v>692</v>
      </c>
      <c r="X239" t="s">
        <v>670</v>
      </c>
      <c r="Y239" s="6" t="s">
        <v>32</v>
      </c>
    </row>
    <row r="240" spans="1:25" x14ac:dyDescent="0.25">
      <c r="A240" t="s">
        <v>686</v>
      </c>
      <c r="B240" t="s">
        <v>687</v>
      </c>
      <c r="C240" s="24">
        <v>45069</v>
      </c>
      <c r="D240" s="14">
        <v>252500</v>
      </c>
      <c r="E240" t="s">
        <v>27</v>
      </c>
      <c r="F240" t="s">
        <v>28</v>
      </c>
      <c r="G240" s="14">
        <v>252500</v>
      </c>
      <c r="H240" s="14">
        <v>65100</v>
      </c>
      <c r="I240" s="19">
        <f t="shared" si="12"/>
        <v>25.782178217821784</v>
      </c>
      <c r="J240" s="14">
        <v>130217</v>
      </c>
      <c r="K240" s="14">
        <f>G240-106457</f>
        <v>146043</v>
      </c>
      <c r="L240" s="14">
        <v>23760</v>
      </c>
      <c r="M240" s="29">
        <v>0</v>
      </c>
      <c r="N240" s="33">
        <v>0</v>
      </c>
      <c r="O240" s="38">
        <v>0.54</v>
      </c>
      <c r="P240" s="38">
        <v>0.54</v>
      </c>
      <c r="Q240" s="14" t="e">
        <f t="shared" si="13"/>
        <v>#DIV/0!</v>
      </c>
      <c r="R240" s="14">
        <f t="shared" si="14"/>
        <v>270450</v>
      </c>
      <c r="S240" s="43">
        <f t="shared" si="15"/>
        <v>6.2086776859504136</v>
      </c>
      <c r="T240" s="38">
        <v>0</v>
      </c>
      <c r="U240" s="5" t="s">
        <v>615</v>
      </c>
      <c r="V240" t="s">
        <v>689</v>
      </c>
      <c r="X240" t="s">
        <v>617</v>
      </c>
      <c r="Y240" s="6" t="s">
        <v>32</v>
      </c>
    </row>
    <row r="241" spans="1:25" x14ac:dyDescent="0.25">
      <c r="A241" t="s">
        <v>709</v>
      </c>
      <c r="B241" t="s">
        <v>710</v>
      </c>
      <c r="C241" s="24">
        <v>44397</v>
      </c>
      <c r="D241" s="14">
        <v>80000</v>
      </c>
      <c r="E241" t="s">
        <v>711</v>
      </c>
      <c r="F241" t="s">
        <v>28</v>
      </c>
      <c r="G241" s="14">
        <v>80000</v>
      </c>
      <c r="H241" s="14">
        <v>23500</v>
      </c>
      <c r="I241" s="19">
        <f t="shared" si="12"/>
        <v>29.375</v>
      </c>
      <c r="J241" s="14">
        <v>47025</v>
      </c>
      <c r="K241" s="14">
        <f>G241-0</f>
        <v>80000</v>
      </c>
      <c r="L241" s="14">
        <v>47025</v>
      </c>
      <c r="M241" s="29">
        <v>0</v>
      </c>
      <c r="N241" s="33">
        <v>0</v>
      </c>
      <c r="O241" s="38">
        <v>1.1100000000000001</v>
      </c>
      <c r="P241" s="38">
        <v>1.1100000000000001</v>
      </c>
      <c r="Q241" s="14" t="e">
        <f t="shared" si="13"/>
        <v>#DIV/0!</v>
      </c>
      <c r="R241" s="14">
        <f t="shared" si="14"/>
        <v>72072.072072072071</v>
      </c>
      <c r="S241" s="43">
        <f t="shared" si="15"/>
        <v>1.6545471090925636</v>
      </c>
      <c r="T241" s="38">
        <v>0</v>
      </c>
      <c r="U241" s="5" t="s">
        <v>615</v>
      </c>
      <c r="V241" t="s">
        <v>712</v>
      </c>
      <c r="X241" t="s">
        <v>617</v>
      </c>
      <c r="Y241" s="6" t="s">
        <v>113</v>
      </c>
    </row>
    <row r="242" spans="1:25" x14ac:dyDescent="0.25">
      <c r="A242" t="s">
        <v>686</v>
      </c>
      <c r="B242" t="s">
        <v>687</v>
      </c>
      <c r="C242" s="24">
        <v>44306</v>
      </c>
      <c r="D242" s="14">
        <v>210000</v>
      </c>
      <c r="E242" t="s">
        <v>27</v>
      </c>
      <c r="F242" t="s">
        <v>28</v>
      </c>
      <c r="G242" s="14">
        <v>210000</v>
      </c>
      <c r="H242" s="14">
        <v>65100</v>
      </c>
      <c r="I242" s="19">
        <f t="shared" si="12"/>
        <v>31</v>
      </c>
      <c r="J242" s="14">
        <v>130217</v>
      </c>
      <c r="K242" s="14">
        <f>G242-106457</f>
        <v>103543</v>
      </c>
      <c r="L242" s="14">
        <v>23760</v>
      </c>
      <c r="M242" s="29">
        <v>0</v>
      </c>
      <c r="N242" s="33">
        <v>0</v>
      </c>
      <c r="O242" s="38">
        <v>0.54</v>
      </c>
      <c r="P242" s="38">
        <v>0.54</v>
      </c>
      <c r="Q242" s="14" t="e">
        <f t="shared" si="13"/>
        <v>#DIV/0!</v>
      </c>
      <c r="R242" s="14">
        <f t="shared" si="14"/>
        <v>191746.29629629629</v>
      </c>
      <c r="S242" s="43">
        <f t="shared" si="15"/>
        <v>4.4018892630003741</v>
      </c>
      <c r="T242" s="38">
        <v>0</v>
      </c>
      <c r="U242" s="5" t="s">
        <v>615</v>
      </c>
      <c r="V242" t="s">
        <v>688</v>
      </c>
      <c r="X242" t="s">
        <v>617</v>
      </c>
      <c r="Y242" s="6" t="s">
        <v>32</v>
      </c>
    </row>
    <row r="243" spans="1:25" x14ac:dyDescent="0.25">
      <c r="A243" t="s">
        <v>680</v>
      </c>
      <c r="B243" t="s">
        <v>681</v>
      </c>
      <c r="C243" s="24">
        <v>44854</v>
      </c>
      <c r="D243" s="14">
        <v>240000</v>
      </c>
      <c r="E243" t="s">
        <v>27</v>
      </c>
      <c r="F243" t="s">
        <v>28</v>
      </c>
      <c r="G243" s="14">
        <v>240000</v>
      </c>
      <c r="H243" s="14">
        <v>89400</v>
      </c>
      <c r="I243" s="19">
        <f t="shared" si="12"/>
        <v>37.25</v>
      </c>
      <c r="J243" s="14">
        <v>178722</v>
      </c>
      <c r="K243" s="14">
        <f>G243-125647</f>
        <v>114353</v>
      </c>
      <c r="L243" s="14">
        <v>53075</v>
      </c>
      <c r="M243" s="29">
        <v>0</v>
      </c>
      <c r="N243" s="33">
        <v>0</v>
      </c>
      <c r="O243" s="38">
        <v>1.33</v>
      </c>
      <c r="P243" s="38">
        <v>1.33</v>
      </c>
      <c r="Q243" s="14" t="e">
        <f t="shared" si="13"/>
        <v>#DIV/0!</v>
      </c>
      <c r="R243" s="14">
        <f t="shared" si="14"/>
        <v>85979.699248120291</v>
      </c>
      <c r="S243" s="43">
        <f t="shared" si="15"/>
        <v>1.9738222967888037</v>
      </c>
      <c r="T243" s="38">
        <v>0</v>
      </c>
      <c r="U243" s="5" t="s">
        <v>615</v>
      </c>
      <c r="V243" t="s">
        <v>682</v>
      </c>
      <c r="X243" t="s">
        <v>617</v>
      </c>
      <c r="Y243" s="6" t="s">
        <v>32</v>
      </c>
    </row>
    <row r="244" spans="1:25" x14ac:dyDescent="0.25">
      <c r="A244" t="s">
        <v>677</v>
      </c>
      <c r="B244" t="s">
        <v>678</v>
      </c>
      <c r="C244" s="24">
        <v>44883</v>
      </c>
      <c r="D244" s="14">
        <v>184000</v>
      </c>
      <c r="E244" t="s">
        <v>27</v>
      </c>
      <c r="F244" t="s">
        <v>28</v>
      </c>
      <c r="G244" s="14">
        <v>184000</v>
      </c>
      <c r="H244" s="14">
        <v>78800</v>
      </c>
      <c r="I244" s="19">
        <f t="shared" si="12"/>
        <v>42.826086956521742</v>
      </c>
      <c r="J244" s="14">
        <v>157607</v>
      </c>
      <c r="K244" s="14">
        <f>G244-114487</f>
        <v>69513</v>
      </c>
      <c r="L244" s="14">
        <v>43120</v>
      </c>
      <c r="M244" s="29">
        <v>0</v>
      </c>
      <c r="N244" s="33">
        <v>0</v>
      </c>
      <c r="O244" s="38">
        <v>0.98</v>
      </c>
      <c r="P244" s="38">
        <v>0.98</v>
      </c>
      <c r="Q244" s="14" t="e">
        <f t="shared" si="13"/>
        <v>#DIV/0!</v>
      </c>
      <c r="R244" s="14">
        <f t="shared" si="14"/>
        <v>70931.632653061228</v>
      </c>
      <c r="S244" s="43">
        <f t="shared" si="15"/>
        <v>1.6283662225220668</v>
      </c>
      <c r="T244" s="38">
        <v>0</v>
      </c>
      <c r="U244" s="5" t="s">
        <v>615</v>
      </c>
      <c r="V244" t="s">
        <v>679</v>
      </c>
      <c r="X244" t="s">
        <v>617</v>
      </c>
      <c r="Y244" s="6" t="s">
        <v>32</v>
      </c>
    </row>
    <row r="245" spans="1:25" x14ac:dyDescent="0.25">
      <c r="A245" t="s">
        <v>618</v>
      </c>
      <c r="B245" t="s">
        <v>619</v>
      </c>
      <c r="C245" s="24">
        <v>45183</v>
      </c>
      <c r="D245" s="14">
        <v>373000</v>
      </c>
      <c r="E245" t="s">
        <v>620</v>
      </c>
      <c r="F245" t="s">
        <v>42</v>
      </c>
      <c r="G245" s="14">
        <v>373000</v>
      </c>
      <c r="H245" s="14">
        <v>160000</v>
      </c>
      <c r="I245" s="19">
        <f t="shared" si="12"/>
        <v>42.89544235924933</v>
      </c>
      <c r="J245" s="14">
        <v>319922</v>
      </c>
      <c r="K245" s="14">
        <f>G245-252642</f>
        <v>120358</v>
      </c>
      <c r="L245" s="14">
        <v>67280</v>
      </c>
      <c r="M245" s="29">
        <v>0</v>
      </c>
      <c r="N245" s="33">
        <v>0</v>
      </c>
      <c r="O245" s="38">
        <v>3.98</v>
      </c>
      <c r="P245" s="38">
        <v>2.16</v>
      </c>
      <c r="Q245" s="14" t="e">
        <f t="shared" si="13"/>
        <v>#DIV/0!</v>
      </c>
      <c r="R245" s="14">
        <f t="shared" si="14"/>
        <v>30240.703517587939</v>
      </c>
      <c r="S245" s="43">
        <f t="shared" si="15"/>
        <v>0.69423102657456237</v>
      </c>
      <c r="T245" s="38">
        <v>0</v>
      </c>
      <c r="U245" s="5" t="s">
        <v>615</v>
      </c>
      <c r="W245" t="s">
        <v>621</v>
      </c>
      <c r="X245" t="s">
        <v>617</v>
      </c>
      <c r="Y245" s="6" t="s">
        <v>32</v>
      </c>
    </row>
    <row r="246" spans="1:25" x14ac:dyDescent="0.25">
      <c r="A246" t="s">
        <v>613</v>
      </c>
      <c r="B246" t="s">
        <v>614</v>
      </c>
      <c r="C246" s="24">
        <v>44421</v>
      </c>
      <c r="D246" s="14">
        <v>240000</v>
      </c>
      <c r="E246" t="s">
        <v>27</v>
      </c>
      <c r="F246" t="s">
        <v>28</v>
      </c>
      <c r="G246" s="14">
        <v>240000</v>
      </c>
      <c r="H246" s="14">
        <v>114900</v>
      </c>
      <c r="I246" s="19">
        <f t="shared" si="12"/>
        <v>47.875</v>
      </c>
      <c r="J246" s="14">
        <v>229805</v>
      </c>
      <c r="K246" s="14">
        <f>G246-201645</f>
        <v>38355</v>
      </c>
      <c r="L246" s="14">
        <v>28160</v>
      </c>
      <c r="M246" s="29">
        <v>0</v>
      </c>
      <c r="N246" s="33">
        <v>0</v>
      </c>
      <c r="O246" s="38">
        <v>0.64</v>
      </c>
      <c r="P246" s="38">
        <v>0.64</v>
      </c>
      <c r="Q246" s="14" t="e">
        <f t="shared" si="13"/>
        <v>#DIV/0!</v>
      </c>
      <c r="R246" s="14">
        <f t="shared" si="14"/>
        <v>59929.6875</v>
      </c>
      <c r="S246" s="43">
        <f t="shared" si="15"/>
        <v>1.3757963154269972</v>
      </c>
      <c r="T246" s="38">
        <v>0</v>
      </c>
      <c r="U246" s="5" t="s">
        <v>615</v>
      </c>
      <c r="V246" t="s">
        <v>616</v>
      </c>
      <c r="X246" t="s">
        <v>617</v>
      </c>
      <c r="Y246" s="6" t="s">
        <v>32</v>
      </c>
    </row>
    <row r="247" spans="1:25" x14ac:dyDescent="0.25">
      <c r="A247" t="s">
        <v>674</v>
      </c>
      <c r="B247" t="s">
        <v>675</v>
      </c>
      <c r="C247" s="24">
        <v>44533</v>
      </c>
      <c r="D247" s="14">
        <v>240000</v>
      </c>
      <c r="E247" t="s">
        <v>27</v>
      </c>
      <c r="F247" t="s">
        <v>28</v>
      </c>
      <c r="G247" s="14">
        <v>240000</v>
      </c>
      <c r="H247" s="14">
        <v>129600</v>
      </c>
      <c r="I247" s="19">
        <f t="shared" si="12"/>
        <v>54</v>
      </c>
      <c r="J247" s="14">
        <v>259163</v>
      </c>
      <c r="K247" s="14">
        <f>G247-224843</f>
        <v>15157</v>
      </c>
      <c r="L247" s="14">
        <v>34320</v>
      </c>
      <c r="M247" s="29">
        <v>0</v>
      </c>
      <c r="N247" s="33">
        <v>0</v>
      </c>
      <c r="O247" s="38">
        <v>0.78</v>
      </c>
      <c r="P247" s="38">
        <v>0.78</v>
      </c>
      <c r="Q247" s="14" t="e">
        <f t="shared" si="13"/>
        <v>#DIV/0!</v>
      </c>
      <c r="R247" s="14">
        <f t="shared" si="14"/>
        <v>19432.051282051281</v>
      </c>
      <c r="S247" s="43">
        <f t="shared" si="15"/>
        <v>0.44609851428033243</v>
      </c>
      <c r="T247" s="38">
        <v>0</v>
      </c>
      <c r="U247" s="5" t="s">
        <v>615</v>
      </c>
      <c r="V247" t="s">
        <v>676</v>
      </c>
      <c r="X247" t="s">
        <v>617</v>
      </c>
      <c r="Y247" s="6" t="s">
        <v>32</v>
      </c>
    </row>
    <row r="248" spans="1:25" ht="15.75" thickBot="1" x14ac:dyDescent="0.3">
      <c r="A248" t="s">
        <v>683</v>
      </c>
      <c r="B248" t="s">
        <v>684</v>
      </c>
      <c r="C248" s="24">
        <v>44294</v>
      </c>
      <c r="D248" s="14">
        <v>132000</v>
      </c>
      <c r="E248" t="s">
        <v>27</v>
      </c>
      <c r="F248" t="s">
        <v>28</v>
      </c>
      <c r="G248" s="14">
        <v>132000</v>
      </c>
      <c r="H248" s="14">
        <v>79100</v>
      </c>
      <c r="I248" s="19">
        <f t="shared" si="12"/>
        <v>59.924242424242422</v>
      </c>
      <c r="J248" s="14">
        <v>158262</v>
      </c>
      <c r="K248" s="14">
        <f>G248-93087</f>
        <v>38913</v>
      </c>
      <c r="L248" s="14">
        <v>65175</v>
      </c>
      <c r="M248" s="29">
        <v>0</v>
      </c>
      <c r="N248" s="33">
        <v>0</v>
      </c>
      <c r="O248" s="38">
        <v>1.95</v>
      </c>
      <c r="P248" s="38">
        <v>1.95</v>
      </c>
      <c r="Q248" s="14" t="e">
        <f t="shared" si="13"/>
        <v>#DIV/0!</v>
      </c>
      <c r="R248" s="14">
        <f t="shared" si="14"/>
        <v>19955.384615384617</v>
      </c>
      <c r="S248" s="43">
        <f t="shared" si="15"/>
        <v>0.45811259447623087</v>
      </c>
      <c r="T248" s="38">
        <v>0</v>
      </c>
      <c r="U248" s="5" t="s">
        <v>615</v>
      </c>
      <c r="V248" t="s">
        <v>685</v>
      </c>
      <c r="X248" t="s">
        <v>617</v>
      </c>
      <c r="Y248" s="6" t="s">
        <v>32</v>
      </c>
    </row>
    <row r="249" spans="1:25" ht="15.75" thickTop="1" x14ac:dyDescent="0.25">
      <c r="A249" s="7"/>
      <c r="B249" s="7"/>
      <c r="C249" s="25" t="s">
        <v>769</v>
      </c>
      <c r="D249" s="15">
        <f>+SUM(D2:D248)</f>
        <v>63829990</v>
      </c>
      <c r="E249" s="7"/>
      <c r="F249" s="7"/>
      <c r="G249" s="15">
        <f>+SUM(G2:G248)</f>
        <v>63829990</v>
      </c>
      <c r="H249" s="15">
        <f>+SUM(H2:H248)</f>
        <v>28925900</v>
      </c>
      <c r="I249" s="20"/>
      <c r="J249" s="15">
        <f>+SUM(J2:J248)</f>
        <v>58017987</v>
      </c>
      <c r="K249" s="15">
        <f>+SUM(K2:K248)</f>
        <v>20527497</v>
      </c>
      <c r="L249" s="15">
        <f>+SUM(L2:L248)</f>
        <v>14548104</v>
      </c>
      <c r="M249" s="30">
        <f>+SUM(M2:M248)</f>
        <v>2201.5</v>
      </c>
      <c r="N249" s="34"/>
      <c r="O249" s="39">
        <f>+SUM(O2:O248)</f>
        <v>588.03400000000022</v>
      </c>
      <c r="P249" s="39">
        <f>+SUM(P2:P248)</f>
        <v>568.85</v>
      </c>
      <c r="Q249" s="15"/>
      <c r="R249" s="15"/>
      <c r="S249" s="44"/>
      <c r="T249" s="39"/>
      <c r="U249" s="8"/>
      <c r="V249" s="7"/>
      <c r="W249" s="7"/>
      <c r="X249" s="7"/>
      <c r="Y249" s="7"/>
    </row>
    <row r="250" spans="1:25" x14ac:dyDescent="0.25">
      <c r="A250" s="9"/>
      <c r="B250" s="9"/>
      <c r="C250" s="26"/>
      <c r="D250" s="16"/>
      <c r="E250" s="9"/>
      <c r="F250" s="9"/>
      <c r="G250" s="16"/>
      <c r="H250" s="16" t="s">
        <v>770</v>
      </c>
      <c r="I250" s="21">
        <f>H249/G249*100</f>
        <v>45.317099376014312</v>
      </c>
      <c r="J250" s="16"/>
      <c r="K250" s="16"/>
      <c r="L250" s="16" t="s">
        <v>771</v>
      </c>
      <c r="M250" s="31"/>
      <c r="N250" s="35"/>
      <c r="O250" s="40" t="s">
        <v>771</v>
      </c>
      <c r="P250" s="40"/>
      <c r="Q250" s="16"/>
      <c r="R250" s="16" t="s">
        <v>771</v>
      </c>
      <c r="S250" s="45"/>
      <c r="T250" s="40"/>
      <c r="U250" s="10"/>
      <c r="V250" s="9"/>
      <c r="W250" s="9"/>
      <c r="X250" s="9"/>
      <c r="Y250" s="9"/>
    </row>
    <row r="251" spans="1:25" x14ac:dyDescent="0.25">
      <c r="A251" s="11"/>
      <c r="B251" s="11"/>
      <c r="C251" s="27"/>
      <c r="D251" s="17"/>
      <c r="E251" s="11"/>
      <c r="F251" s="11"/>
      <c r="G251" s="17"/>
      <c r="H251" s="17" t="s">
        <v>772</v>
      </c>
      <c r="I251" s="22">
        <f>STDEV(I2:I248)</f>
        <v>8.8785676548121923</v>
      </c>
      <c r="J251" s="17"/>
      <c r="K251" s="17"/>
      <c r="L251" s="17" t="s">
        <v>773</v>
      </c>
      <c r="M251" s="47">
        <f>K249/M249</f>
        <v>9324.3229616170793</v>
      </c>
      <c r="N251" s="36"/>
      <c r="O251" s="41" t="s">
        <v>774</v>
      </c>
      <c r="P251" s="41">
        <f>K249/O249</f>
        <v>34908.690653941769</v>
      </c>
      <c r="Q251" s="17"/>
      <c r="R251" s="17" t="s">
        <v>775</v>
      </c>
      <c r="S251" s="46">
        <f>K249/O249/43560</f>
        <v>0.80139326570114255</v>
      </c>
      <c r="T251" s="41"/>
      <c r="U251" s="12"/>
      <c r="V251" s="11"/>
      <c r="W251" s="11"/>
      <c r="X251" s="11"/>
      <c r="Y251" s="11"/>
    </row>
  </sheetData>
  <sortState xmlns:xlrd2="http://schemas.microsoft.com/office/spreadsheetml/2017/richdata2" ref="A2:BL248">
    <sortCondition ref="X2:X248"/>
  </sortState>
  <conditionalFormatting sqref="A2:Y248">
    <cfRule type="expression" dxfId="19" priority="1" stopIfTrue="1">
      <formula>MOD(ROW(),4)&gt;1</formula>
    </cfRule>
    <cfRule type="expression" dxfId="18" priority="2" stopIfTrue="1">
      <formula>MOD(ROW(),4)&lt;2</formula>
    </cfRule>
  </conditionalFormatting>
  <pageMargins left="0.7" right="0.7" top="0.75" bottom="0.75" header="0.3" footer="0.3"/>
  <pageSetup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F64FC-88E2-4E4B-9693-3BA4467B7304}">
  <dimension ref="A1:AS91"/>
  <sheetViews>
    <sheetView workbookViewId="0">
      <selection activeCell="F14" sqref="F14"/>
    </sheetView>
  </sheetViews>
  <sheetFormatPr defaultRowHeight="15" x14ac:dyDescent="0.25"/>
  <cols>
    <col min="1" max="1" width="18.140625" bestFit="1" customWidth="1"/>
    <col min="2" max="2" width="26.5703125" bestFit="1" customWidth="1"/>
    <col min="3" max="3" width="9.28515625" style="24" customWidth="1"/>
    <col min="4" max="4" width="11.85546875" style="14" customWidth="1"/>
    <col min="5" max="5" width="5.5703125" customWidth="1"/>
    <col min="6" max="6" width="38.42578125" customWidth="1"/>
    <col min="7" max="7" width="11.85546875" style="14" customWidth="1"/>
    <col min="8" max="8" width="12.7109375" style="14" customWidth="1"/>
    <col min="9" max="9" width="12.85546875" style="19" customWidth="1"/>
    <col min="10" max="10" width="13.42578125" style="14" customWidth="1"/>
    <col min="11" max="11" width="13.28515625" style="14" customWidth="1"/>
    <col min="12" max="12" width="14.42578125" style="14" customWidth="1"/>
    <col min="13" max="13" width="11.140625" style="29" bestFit="1" customWidth="1"/>
    <col min="14" max="14" width="6.42578125" style="33" bestFit="1" customWidth="1"/>
    <col min="15" max="15" width="14.28515625" style="38" bestFit="1" customWidth="1"/>
    <col min="16" max="16" width="10.7109375" style="38" bestFit="1" customWidth="1"/>
    <col min="17" max="17" width="10" style="14" bestFit="1" customWidth="1"/>
    <col min="18" max="18" width="12" style="14" bestFit="1" customWidth="1"/>
    <col min="19" max="19" width="11.85546875" style="43" bestFit="1" customWidth="1"/>
    <col min="20" max="20" width="11.7109375" style="38" bestFit="1" customWidth="1"/>
    <col min="21" max="21" width="8.7109375" style="4" bestFit="1" customWidth="1"/>
    <col min="22" max="22" width="10.5703125" bestFit="1" customWidth="1"/>
    <col min="23" max="23" width="36.5703125" bestFit="1" customWidth="1"/>
    <col min="24" max="24" width="29" bestFit="1" customWidth="1"/>
    <col min="25" max="25" width="5.42578125" bestFit="1" customWidth="1"/>
  </cols>
  <sheetData>
    <row r="1" spans="1:45" x14ac:dyDescent="0.25">
      <c r="A1" s="48" t="s">
        <v>776</v>
      </c>
    </row>
    <row r="2" spans="1:45" x14ac:dyDescent="0.25">
      <c r="A2" s="48" t="s">
        <v>777</v>
      </c>
    </row>
    <row r="3" spans="1:45" x14ac:dyDescent="0.25">
      <c r="A3" s="1" t="s">
        <v>0</v>
      </c>
      <c r="B3" s="1" t="s">
        <v>1</v>
      </c>
      <c r="C3" s="23" t="s">
        <v>2</v>
      </c>
      <c r="D3" s="13" t="s">
        <v>3</v>
      </c>
      <c r="E3" s="1" t="s">
        <v>4</v>
      </c>
      <c r="F3" s="1" t="s">
        <v>5</v>
      </c>
      <c r="G3" s="13" t="s">
        <v>6</v>
      </c>
      <c r="H3" s="13" t="s">
        <v>7</v>
      </c>
      <c r="I3" s="18" t="s">
        <v>8</v>
      </c>
      <c r="J3" s="13" t="s">
        <v>9</v>
      </c>
      <c r="K3" s="13" t="s">
        <v>10</v>
      </c>
      <c r="L3" s="13" t="s">
        <v>11</v>
      </c>
      <c r="M3" s="28" t="s">
        <v>12</v>
      </c>
      <c r="N3" s="32" t="s">
        <v>13</v>
      </c>
      <c r="O3" s="37" t="s">
        <v>14</v>
      </c>
      <c r="P3" s="37" t="s">
        <v>15</v>
      </c>
      <c r="Q3" s="13" t="s">
        <v>16</v>
      </c>
      <c r="R3" s="13" t="s">
        <v>17</v>
      </c>
      <c r="S3" s="42" t="s">
        <v>18</v>
      </c>
      <c r="T3" s="37" t="s">
        <v>19</v>
      </c>
      <c r="U3" s="3" t="s">
        <v>20</v>
      </c>
      <c r="V3" s="1" t="s">
        <v>21</v>
      </c>
      <c r="W3" s="1" t="s">
        <v>22</v>
      </c>
      <c r="X3" s="1" t="s">
        <v>23</v>
      </c>
      <c r="Y3" s="1" t="s">
        <v>24</v>
      </c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</row>
    <row r="4" spans="1:45" x14ac:dyDescent="0.25">
      <c r="A4" t="s">
        <v>354</v>
      </c>
      <c r="B4" t="s">
        <v>355</v>
      </c>
      <c r="C4" s="24">
        <v>44804</v>
      </c>
      <c r="D4" s="14">
        <v>210000</v>
      </c>
      <c r="E4" t="s">
        <v>27</v>
      </c>
      <c r="F4" t="s">
        <v>28</v>
      </c>
      <c r="G4" s="14">
        <v>210000</v>
      </c>
      <c r="H4" s="14">
        <v>93900</v>
      </c>
      <c r="I4" s="19">
        <f t="shared" ref="I4:I28" si="0">H4/G4*100</f>
        <v>44.714285714285715</v>
      </c>
      <c r="J4" s="14">
        <v>187702</v>
      </c>
      <c r="K4" s="14">
        <f>G4-157702</f>
        <v>52298</v>
      </c>
      <c r="L4" s="14">
        <v>30000</v>
      </c>
      <c r="M4" s="29">
        <v>0</v>
      </c>
      <c r="N4" s="33">
        <v>0</v>
      </c>
      <c r="O4" s="38">
        <v>0.21</v>
      </c>
      <c r="P4" s="38">
        <v>0.21</v>
      </c>
      <c r="Q4" s="14" t="e">
        <f t="shared" ref="Q4:Q28" si="1">K4/M4</f>
        <v>#DIV/0!</v>
      </c>
      <c r="R4" s="14">
        <f t="shared" ref="R4:R28" si="2">K4/O4</f>
        <v>249038.09523809524</v>
      </c>
      <c r="S4" s="43">
        <f t="shared" ref="S4:S28" si="3">K4/O4/43560</f>
        <v>5.7171279898552623</v>
      </c>
      <c r="T4" s="38">
        <v>0</v>
      </c>
      <c r="U4" s="5" t="s">
        <v>356</v>
      </c>
      <c r="V4" t="s">
        <v>357</v>
      </c>
      <c r="X4" t="s">
        <v>358</v>
      </c>
      <c r="Y4" s="6" t="s">
        <v>32</v>
      </c>
    </row>
    <row r="5" spans="1:45" x14ac:dyDescent="0.25">
      <c r="A5" t="s">
        <v>359</v>
      </c>
      <c r="B5" t="s">
        <v>360</v>
      </c>
      <c r="C5" s="24">
        <v>45051</v>
      </c>
      <c r="D5" s="14">
        <v>197000</v>
      </c>
      <c r="E5" t="s">
        <v>27</v>
      </c>
      <c r="F5" t="s">
        <v>28</v>
      </c>
      <c r="G5" s="14">
        <v>197000</v>
      </c>
      <c r="H5" s="14">
        <v>101600</v>
      </c>
      <c r="I5" s="19">
        <f t="shared" si="0"/>
        <v>51.573604060913702</v>
      </c>
      <c r="J5" s="14">
        <v>203220</v>
      </c>
      <c r="K5" s="14">
        <f>G5-173220</f>
        <v>23780</v>
      </c>
      <c r="L5" s="14">
        <v>30000</v>
      </c>
      <c r="M5" s="29">
        <v>0</v>
      </c>
      <c r="N5" s="33">
        <v>0</v>
      </c>
      <c r="O5" s="38">
        <v>0.17</v>
      </c>
      <c r="P5" s="38">
        <v>0.17</v>
      </c>
      <c r="Q5" s="14" t="e">
        <f t="shared" si="1"/>
        <v>#DIV/0!</v>
      </c>
      <c r="R5" s="14">
        <f t="shared" si="2"/>
        <v>139882.35294117645</v>
      </c>
      <c r="S5" s="43">
        <f t="shared" si="3"/>
        <v>3.2112569545724621</v>
      </c>
      <c r="T5" s="38">
        <v>0</v>
      </c>
      <c r="U5" s="5" t="s">
        <v>356</v>
      </c>
      <c r="V5" t="s">
        <v>361</v>
      </c>
      <c r="X5" t="s">
        <v>358</v>
      </c>
      <c r="Y5" s="6" t="s">
        <v>32</v>
      </c>
    </row>
    <row r="6" spans="1:45" x14ac:dyDescent="0.25">
      <c r="A6" t="s">
        <v>389</v>
      </c>
      <c r="B6" t="s">
        <v>390</v>
      </c>
      <c r="C6" s="24">
        <v>44547</v>
      </c>
      <c r="D6" s="14">
        <v>205000</v>
      </c>
      <c r="E6" t="s">
        <v>27</v>
      </c>
      <c r="F6" t="s">
        <v>28</v>
      </c>
      <c r="G6" s="14">
        <v>205000</v>
      </c>
      <c r="H6" s="14">
        <v>79900</v>
      </c>
      <c r="I6" s="19">
        <f t="shared" si="0"/>
        <v>38.975609756097562</v>
      </c>
      <c r="J6" s="14">
        <v>159738</v>
      </c>
      <c r="K6" s="14">
        <f>G6-129738</f>
        <v>75262</v>
      </c>
      <c r="L6" s="14">
        <v>30000</v>
      </c>
      <c r="M6" s="29">
        <v>0</v>
      </c>
      <c r="N6" s="33">
        <v>0</v>
      </c>
      <c r="O6" s="38">
        <v>0.85</v>
      </c>
      <c r="P6" s="38">
        <v>0.85</v>
      </c>
      <c r="Q6" s="14" t="e">
        <f t="shared" si="1"/>
        <v>#DIV/0!</v>
      </c>
      <c r="R6" s="14">
        <f t="shared" si="2"/>
        <v>88543.529411764714</v>
      </c>
      <c r="S6" s="43">
        <f t="shared" si="3"/>
        <v>2.0326797385620918</v>
      </c>
      <c r="T6" s="38">
        <v>0</v>
      </c>
      <c r="U6" s="5" t="s">
        <v>356</v>
      </c>
      <c r="V6" t="s">
        <v>391</v>
      </c>
      <c r="X6" t="s">
        <v>358</v>
      </c>
      <c r="Y6" s="6" t="s">
        <v>32</v>
      </c>
    </row>
    <row r="7" spans="1:45" x14ac:dyDescent="0.25">
      <c r="A7" t="s">
        <v>392</v>
      </c>
      <c r="B7" t="s">
        <v>393</v>
      </c>
      <c r="C7" s="24">
        <v>44827</v>
      </c>
      <c r="D7" s="14">
        <v>219000</v>
      </c>
      <c r="E7" t="s">
        <v>27</v>
      </c>
      <c r="F7" t="s">
        <v>28</v>
      </c>
      <c r="G7" s="14">
        <v>219000</v>
      </c>
      <c r="H7" s="14">
        <v>104900</v>
      </c>
      <c r="I7" s="19">
        <f t="shared" si="0"/>
        <v>47.899543378995432</v>
      </c>
      <c r="J7" s="14">
        <v>209860</v>
      </c>
      <c r="K7" s="14">
        <f>G7-157860</f>
        <v>61140</v>
      </c>
      <c r="L7" s="14">
        <v>52000</v>
      </c>
      <c r="M7" s="29">
        <v>0</v>
      </c>
      <c r="N7" s="33">
        <v>0</v>
      </c>
      <c r="O7" s="38">
        <v>0.41</v>
      </c>
      <c r="P7" s="38">
        <v>0.41</v>
      </c>
      <c r="Q7" s="14" t="e">
        <f t="shared" si="1"/>
        <v>#DIV/0!</v>
      </c>
      <c r="R7" s="14">
        <f t="shared" si="2"/>
        <v>149121.95121951221</v>
      </c>
      <c r="S7" s="43">
        <f t="shared" si="3"/>
        <v>3.4233689444332462</v>
      </c>
      <c r="T7" s="38">
        <v>0</v>
      </c>
      <c r="U7" s="5" t="s">
        <v>356</v>
      </c>
      <c r="V7" t="s">
        <v>394</v>
      </c>
      <c r="X7" t="s">
        <v>358</v>
      </c>
      <c r="Y7" s="6" t="s">
        <v>32</v>
      </c>
    </row>
    <row r="8" spans="1:45" x14ac:dyDescent="0.25">
      <c r="A8" t="s">
        <v>395</v>
      </c>
      <c r="B8" t="s">
        <v>396</v>
      </c>
      <c r="C8" s="24">
        <v>44322</v>
      </c>
      <c r="D8" s="14">
        <v>175000</v>
      </c>
      <c r="E8" t="s">
        <v>27</v>
      </c>
      <c r="F8" t="s">
        <v>28</v>
      </c>
      <c r="G8" s="14">
        <v>175000</v>
      </c>
      <c r="H8" s="14">
        <v>75700</v>
      </c>
      <c r="I8" s="19">
        <f t="shared" si="0"/>
        <v>43.257142857142853</v>
      </c>
      <c r="J8" s="14">
        <v>151311</v>
      </c>
      <c r="K8" s="14">
        <f>G8-99311</f>
        <v>75689</v>
      </c>
      <c r="L8" s="14">
        <v>52000</v>
      </c>
      <c r="M8" s="29">
        <v>0</v>
      </c>
      <c r="N8" s="33">
        <v>0</v>
      </c>
      <c r="O8" s="38">
        <v>0.41</v>
      </c>
      <c r="P8" s="38">
        <v>0.41</v>
      </c>
      <c r="Q8" s="14" t="e">
        <f t="shared" si="1"/>
        <v>#DIV/0!</v>
      </c>
      <c r="R8" s="14">
        <f t="shared" si="2"/>
        <v>184607.31707317074</v>
      </c>
      <c r="S8" s="43">
        <f t="shared" si="3"/>
        <v>4.2380008510828908</v>
      </c>
      <c r="T8" s="38">
        <v>0</v>
      </c>
      <c r="U8" s="5" t="s">
        <v>356</v>
      </c>
      <c r="V8" t="s">
        <v>397</v>
      </c>
      <c r="X8" t="s">
        <v>358</v>
      </c>
      <c r="Y8" s="6" t="s">
        <v>32</v>
      </c>
    </row>
    <row r="9" spans="1:45" x14ac:dyDescent="0.25">
      <c r="A9" t="s">
        <v>398</v>
      </c>
      <c r="B9" t="s">
        <v>399</v>
      </c>
      <c r="C9" s="24">
        <v>45175</v>
      </c>
      <c r="D9" s="14">
        <v>236500</v>
      </c>
      <c r="E9" t="s">
        <v>27</v>
      </c>
      <c r="F9" t="s">
        <v>28</v>
      </c>
      <c r="G9" s="14">
        <v>236500</v>
      </c>
      <c r="H9" s="14">
        <v>87300</v>
      </c>
      <c r="I9" s="19">
        <f t="shared" si="0"/>
        <v>36.913319238900634</v>
      </c>
      <c r="J9" s="14">
        <v>174678</v>
      </c>
      <c r="K9" s="14">
        <f>G9-122678</f>
        <v>113822</v>
      </c>
      <c r="L9" s="14">
        <v>52000</v>
      </c>
      <c r="M9" s="29">
        <v>0</v>
      </c>
      <c r="N9" s="33">
        <v>0</v>
      </c>
      <c r="O9" s="38">
        <v>0.39</v>
      </c>
      <c r="P9" s="38">
        <v>0.39</v>
      </c>
      <c r="Q9" s="14" t="e">
        <f t="shared" si="1"/>
        <v>#DIV/0!</v>
      </c>
      <c r="R9" s="14">
        <f t="shared" si="2"/>
        <v>291851.28205128206</v>
      </c>
      <c r="S9" s="43">
        <f t="shared" si="3"/>
        <v>6.6999835181653369</v>
      </c>
      <c r="T9" s="38">
        <v>0</v>
      </c>
      <c r="U9" s="5" t="s">
        <v>356</v>
      </c>
      <c r="V9" t="s">
        <v>400</v>
      </c>
      <c r="X9" t="s">
        <v>358</v>
      </c>
      <c r="Y9" s="6" t="s">
        <v>32</v>
      </c>
    </row>
    <row r="10" spans="1:45" x14ac:dyDescent="0.25">
      <c r="A10" t="s">
        <v>401</v>
      </c>
      <c r="B10" t="s">
        <v>402</v>
      </c>
      <c r="C10" s="24">
        <v>45155</v>
      </c>
      <c r="D10" s="14">
        <v>210000</v>
      </c>
      <c r="E10" t="s">
        <v>27</v>
      </c>
      <c r="F10" t="s">
        <v>28</v>
      </c>
      <c r="G10" s="14">
        <v>210000</v>
      </c>
      <c r="H10" s="14">
        <v>82100</v>
      </c>
      <c r="I10" s="19">
        <f t="shared" si="0"/>
        <v>39.095238095238095</v>
      </c>
      <c r="J10" s="14">
        <v>164225</v>
      </c>
      <c r="K10" s="14">
        <f>G10-112225</f>
        <v>97775</v>
      </c>
      <c r="L10" s="14">
        <v>52000</v>
      </c>
      <c r="M10" s="29">
        <v>0</v>
      </c>
      <c r="N10" s="33">
        <v>0</v>
      </c>
      <c r="O10" s="38">
        <v>0.41</v>
      </c>
      <c r="P10" s="38">
        <v>0.41</v>
      </c>
      <c r="Q10" s="14" t="e">
        <f t="shared" si="1"/>
        <v>#DIV/0!</v>
      </c>
      <c r="R10" s="14">
        <f t="shared" si="2"/>
        <v>238475.60975609758</v>
      </c>
      <c r="S10" s="43">
        <f t="shared" si="3"/>
        <v>5.4746466886156471</v>
      </c>
      <c r="T10" s="38">
        <v>0</v>
      </c>
      <c r="U10" s="5" t="s">
        <v>356</v>
      </c>
      <c r="V10" t="s">
        <v>404</v>
      </c>
      <c r="X10" t="s">
        <v>358</v>
      </c>
      <c r="Y10" s="6" t="s">
        <v>32</v>
      </c>
    </row>
    <row r="11" spans="1:45" x14ac:dyDescent="0.25">
      <c r="A11" t="s">
        <v>401</v>
      </c>
      <c r="B11" t="s">
        <v>402</v>
      </c>
      <c r="C11" s="24">
        <v>44470</v>
      </c>
      <c r="D11" s="14">
        <v>155000</v>
      </c>
      <c r="E11" t="s">
        <v>27</v>
      </c>
      <c r="F11" t="s">
        <v>28</v>
      </c>
      <c r="G11" s="14">
        <v>155000</v>
      </c>
      <c r="H11" s="14">
        <v>82100</v>
      </c>
      <c r="I11" s="19">
        <f t="shared" si="0"/>
        <v>52.967741935483872</v>
      </c>
      <c r="J11" s="14">
        <v>164225</v>
      </c>
      <c r="K11" s="14">
        <f>G11-112225</f>
        <v>42775</v>
      </c>
      <c r="L11" s="14">
        <v>52000</v>
      </c>
      <c r="M11" s="29">
        <v>0</v>
      </c>
      <c r="N11" s="33">
        <v>0</v>
      </c>
      <c r="O11" s="38">
        <v>0.41</v>
      </c>
      <c r="P11" s="38">
        <v>0.41</v>
      </c>
      <c r="Q11" s="14" t="e">
        <f t="shared" si="1"/>
        <v>#DIV/0!</v>
      </c>
      <c r="R11" s="14">
        <f t="shared" si="2"/>
        <v>104329.26829268293</v>
      </c>
      <c r="S11" s="43">
        <f t="shared" si="3"/>
        <v>2.3950704383076888</v>
      </c>
      <c r="T11" s="38">
        <v>0</v>
      </c>
      <c r="U11" s="5" t="s">
        <v>356</v>
      </c>
      <c r="V11" t="s">
        <v>403</v>
      </c>
      <c r="X11" t="s">
        <v>358</v>
      </c>
      <c r="Y11" s="6" t="s">
        <v>32</v>
      </c>
    </row>
    <row r="12" spans="1:45" x14ac:dyDescent="0.25">
      <c r="A12" t="s">
        <v>405</v>
      </c>
      <c r="B12" t="s">
        <v>406</v>
      </c>
      <c r="C12" s="24">
        <v>44974</v>
      </c>
      <c r="D12" s="14">
        <v>212500</v>
      </c>
      <c r="E12" t="s">
        <v>27</v>
      </c>
      <c r="F12" t="s">
        <v>28</v>
      </c>
      <c r="G12" s="14">
        <v>212500</v>
      </c>
      <c r="H12" s="14">
        <v>103300</v>
      </c>
      <c r="I12" s="19">
        <f t="shared" si="0"/>
        <v>48.611764705882351</v>
      </c>
      <c r="J12" s="14">
        <v>206561</v>
      </c>
      <c r="K12" s="14">
        <f>G12-146561</f>
        <v>65939</v>
      </c>
      <c r="L12" s="14">
        <v>60000</v>
      </c>
      <c r="M12" s="29">
        <v>0</v>
      </c>
      <c r="N12" s="33">
        <v>0</v>
      </c>
      <c r="O12" s="38">
        <v>0.3</v>
      </c>
      <c r="P12" s="38">
        <v>0.3</v>
      </c>
      <c r="Q12" s="14" t="e">
        <f t="shared" si="1"/>
        <v>#DIV/0!</v>
      </c>
      <c r="R12" s="14">
        <f t="shared" si="2"/>
        <v>219796.66666666669</v>
      </c>
      <c r="S12" s="43">
        <f t="shared" si="3"/>
        <v>5.0458371594735238</v>
      </c>
      <c r="T12" s="38">
        <v>0</v>
      </c>
      <c r="U12" s="5" t="s">
        <v>356</v>
      </c>
      <c r="V12" t="s">
        <v>407</v>
      </c>
      <c r="X12" t="s">
        <v>358</v>
      </c>
      <c r="Y12" s="6" t="s">
        <v>32</v>
      </c>
    </row>
    <row r="13" spans="1:45" x14ac:dyDescent="0.25">
      <c r="A13" t="s">
        <v>408</v>
      </c>
      <c r="B13" t="s">
        <v>409</v>
      </c>
      <c r="C13" s="24">
        <v>44963</v>
      </c>
      <c r="D13" s="14">
        <v>260000</v>
      </c>
      <c r="E13" t="s">
        <v>27</v>
      </c>
      <c r="F13" t="s">
        <v>28</v>
      </c>
      <c r="G13" s="14">
        <v>260000</v>
      </c>
      <c r="H13" s="14">
        <v>137200</v>
      </c>
      <c r="I13" s="19">
        <f t="shared" si="0"/>
        <v>52.769230769230766</v>
      </c>
      <c r="J13" s="14">
        <v>274416</v>
      </c>
      <c r="K13" s="14">
        <f>G13-214416</f>
        <v>45584</v>
      </c>
      <c r="L13" s="14">
        <v>60000</v>
      </c>
      <c r="M13" s="29">
        <v>0</v>
      </c>
      <c r="N13" s="33">
        <v>0</v>
      </c>
      <c r="O13" s="38">
        <v>0.25</v>
      </c>
      <c r="P13" s="38">
        <v>0.25</v>
      </c>
      <c r="Q13" s="14" t="e">
        <f t="shared" si="1"/>
        <v>#DIV/0!</v>
      </c>
      <c r="R13" s="14">
        <f t="shared" si="2"/>
        <v>182336</v>
      </c>
      <c r="S13" s="43">
        <f t="shared" si="3"/>
        <v>4.1858585858585862</v>
      </c>
      <c r="T13" s="38">
        <v>0</v>
      </c>
      <c r="U13" s="5" t="s">
        <v>356</v>
      </c>
      <c r="V13" t="s">
        <v>410</v>
      </c>
      <c r="X13" t="s">
        <v>358</v>
      </c>
      <c r="Y13" s="6" t="s">
        <v>32</v>
      </c>
    </row>
    <row r="14" spans="1:45" x14ac:dyDescent="0.25">
      <c r="A14" t="s">
        <v>411</v>
      </c>
      <c r="B14" t="s">
        <v>412</v>
      </c>
      <c r="C14" s="24">
        <v>44496</v>
      </c>
      <c r="D14" s="14">
        <v>235000</v>
      </c>
      <c r="E14" t="s">
        <v>27</v>
      </c>
      <c r="F14" t="s">
        <v>28</v>
      </c>
      <c r="G14" s="14">
        <v>235000</v>
      </c>
      <c r="H14" s="14">
        <v>105900</v>
      </c>
      <c r="I14" s="19">
        <f t="shared" si="0"/>
        <v>45.063829787234042</v>
      </c>
      <c r="J14" s="14">
        <v>211768</v>
      </c>
      <c r="K14" s="14">
        <f>G14-151768</f>
        <v>83232</v>
      </c>
      <c r="L14" s="14">
        <v>60000</v>
      </c>
      <c r="M14" s="29">
        <v>0</v>
      </c>
      <c r="N14" s="33">
        <v>0</v>
      </c>
      <c r="O14" s="38">
        <v>0.23</v>
      </c>
      <c r="P14" s="38">
        <v>0.23</v>
      </c>
      <c r="Q14" s="14" t="e">
        <f t="shared" si="1"/>
        <v>#DIV/0!</v>
      </c>
      <c r="R14" s="14">
        <f t="shared" si="2"/>
        <v>361878.26086956519</v>
      </c>
      <c r="S14" s="43">
        <f t="shared" si="3"/>
        <v>8.3075817463169237</v>
      </c>
      <c r="T14" s="38">
        <v>0</v>
      </c>
      <c r="U14" s="5" t="s">
        <v>356</v>
      </c>
      <c r="V14" t="s">
        <v>413</v>
      </c>
      <c r="X14" t="s">
        <v>358</v>
      </c>
      <c r="Y14" s="6" t="s">
        <v>32</v>
      </c>
    </row>
    <row r="15" spans="1:45" x14ac:dyDescent="0.25">
      <c r="A15" t="s">
        <v>414</v>
      </c>
      <c r="B15" t="s">
        <v>415</v>
      </c>
      <c r="C15" s="24">
        <v>44627</v>
      </c>
      <c r="D15" s="14">
        <v>270000</v>
      </c>
      <c r="E15" t="s">
        <v>27</v>
      </c>
      <c r="F15" t="s">
        <v>28</v>
      </c>
      <c r="G15" s="14">
        <v>270000</v>
      </c>
      <c r="H15" s="14">
        <v>119700</v>
      </c>
      <c r="I15" s="19">
        <f t="shared" si="0"/>
        <v>44.333333333333336</v>
      </c>
      <c r="J15" s="14">
        <v>239413</v>
      </c>
      <c r="K15" s="14">
        <f>G15-179413</f>
        <v>90587</v>
      </c>
      <c r="L15" s="14">
        <v>60000</v>
      </c>
      <c r="M15" s="29">
        <v>0</v>
      </c>
      <c r="N15" s="33">
        <v>0</v>
      </c>
      <c r="O15" s="38">
        <v>0.23</v>
      </c>
      <c r="P15" s="38">
        <v>0.23</v>
      </c>
      <c r="Q15" s="14" t="e">
        <f t="shared" si="1"/>
        <v>#DIV/0!</v>
      </c>
      <c r="R15" s="14">
        <f t="shared" si="2"/>
        <v>393856.52173913043</v>
      </c>
      <c r="S15" s="43">
        <f t="shared" si="3"/>
        <v>9.0417016009901392</v>
      </c>
      <c r="T15" s="38">
        <v>0</v>
      </c>
      <c r="U15" s="5" t="s">
        <v>356</v>
      </c>
      <c r="V15" t="s">
        <v>416</v>
      </c>
      <c r="X15" t="s">
        <v>358</v>
      </c>
      <c r="Y15" s="6" t="s">
        <v>32</v>
      </c>
    </row>
    <row r="16" spans="1:45" x14ac:dyDescent="0.25">
      <c r="A16" t="s">
        <v>417</v>
      </c>
      <c r="B16" t="s">
        <v>418</v>
      </c>
      <c r="C16" s="24">
        <v>44400</v>
      </c>
      <c r="D16" s="14">
        <v>257500</v>
      </c>
      <c r="E16" t="s">
        <v>27</v>
      </c>
      <c r="F16" t="s">
        <v>28</v>
      </c>
      <c r="G16" s="14">
        <v>257500</v>
      </c>
      <c r="H16" s="14">
        <v>122800</v>
      </c>
      <c r="I16" s="19">
        <f t="shared" si="0"/>
        <v>47.689320388349515</v>
      </c>
      <c r="J16" s="14">
        <v>245555</v>
      </c>
      <c r="K16" s="14">
        <f>G16-185555</f>
        <v>71945</v>
      </c>
      <c r="L16" s="14">
        <v>60000</v>
      </c>
      <c r="M16" s="29">
        <v>0</v>
      </c>
      <c r="N16" s="33">
        <v>0</v>
      </c>
      <c r="O16" s="38">
        <v>0.36</v>
      </c>
      <c r="P16" s="38">
        <v>0.36</v>
      </c>
      <c r="Q16" s="14" t="e">
        <f t="shared" si="1"/>
        <v>#DIV/0!</v>
      </c>
      <c r="R16" s="14">
        <f t="shared" si="2"/>
        <v>199847.22222222222</v>
      </c>
      <c r="S16" s="43">
        <f t="shared" si="3"/>
        <v>4.5878609325579021</v>
      </c>
      <c r="T16" s="38">
        <v>0</v>
      </c>
      <c r="U16" s="5" t="s">
        <v>356</v>
      </c>
      <c r="V16" t="s">
        <v>419</v>
      </c>
      <c r="X16" t="s">
        <v>358</v>
      </c>
      <c r="Y16" s="6" t="s">
        <v>32</v>
      </c>
    </row>
    <row r="17" spans="1:25" x14ac:dyDescent="0.25">
      <c r="A17" t="s">
        <v>420</v>
      </c>
      <c r="B17" t="s">
        <v>421</v>
      </c>
      <c r="C17" s="24">
        <v>44742</v>
      </c>
      <c r="D17" s="14">
        <v>278250</v>
      </c>
      <c r="E17" t="s">
        <v>27</v>
      </c>
      <c r="F17" t="s">
        <v>28</v>
      </c>
      <c r="G17" s="14">
        <v>278250</v>
      </c>
      <c r="H17" s="14">
        <v>129700</v>
      </c>
      <c r="I17" s="19">
        <f t="shared" si="0"/>
        <v>46.612758310871513</v>
      </c>
      <c r="J17" s="14">
        <v>259405</v>
      </c>
      <c r="K17" s="14">
        <f>G17-199405</f>
        <v>78845</v>
      </c>
      <c r="L17" s="14">
        <v>60000</v>
      </c>
      <c r="M17" s="29">
        <v>0</v>
      </c>
      <c r="N17" s="33">
        <v>0</v>
      </c>
      <c r="O17" s="38">
        <v>0.31</v>
      </c>
      <c r="P17" s="38">
        <v>0.31</v>
      </c>
      <c r="Q17" s="14" t="e">
        <f t="shared" si="1"/>
        <v>#DIV/0!</v>
      </c>
      <c r="R17" s="14">
        <f t="shared" si="2"/>
        <v>254338.70967741936</v>
      </c>
      <c r="S17" s="43">
        <f t="shared" si="3"/>
        <v>5.8388133534761106</v>
      </c>
      <c r="T17" s="38">
        <v>0</v>
      </c>
      <c r="U17" s="5" t="s">
        <v>356</v>
      </c>
      <c r="V17" t="s">
        <v>422</v>
      </c>
      <c r="X17" t="s">
        <v>358</v>
      </c>
      <c r="Y17" s="6" t="s">
        <v>32</v>
      </c>
    </row>
    <row r="18" spans="1:25" x14ac:dyDescent="0.25">
      <c r="A18" t="s">
        <v>423</v>
      </c>
      <c r="B18" t="s">
        <v>424</v>
      </c>
      <c r="C18" s="24">
        <v>44788</v>
      </c>
      <c r="D18" s="14">
        <v>270000</v>
      </c>
      <c r="E18" t="s">
        <v>27</v>
      </c>
      <c r="F18" t="s">
        <v>28</v>
      </c>
      <c r="G18" s="14">
        <v>270000</v>
      </c>
      <c r="H18" s="14">
        <v>115300</v>
      </c>
      <c r="I18" s="19">
        <f t="shared" si="0"/>
        <v>42.703703703703702</v>
      </c>
      <c r="J18" s="14">
        <v>230532</v>
      </c>
      <c r="K18" s="14">
        <f>G18-170532</f>
        <v>99468</v>
      </c>
      <c r="L18" s="14">
        <v>60000</v>
      </c>
      <c r="M18" s="29">
        <v>0</v>
      </c>
      <c r="N18" s="33">
        <v>0</v>
      </c>
      <c r="O18" s="38">
        <v>0.25</v>
      </c>
      <c r="P18" s="38">
        <v>0.25</v>
      </c>
      <c r="Q18" s="14" t="e">
        <f t="shared" si="1"/>
        <v>#DIV/0!</v>
      </c>
      <c r="R18" s="14">
        <f t="shared" si="2"/>
        <v>397872</v>
      </c>
      <c r="S18" s="43">
        <f t="shared" si="3"/>
        <v>9.1338842975206607</v>
      </c>
      <c r="T18" s="38">
        <v>0</v>
      </c>
      <c r="U18" s="5" t="s">
        <v>356</v>
      </c>
      <c r="V18" t="s">
        <v>425</v>
      </c>
      <c r="X18" t="s">
        <v>358</v>
      </c>
      <c r="Y18" s="6" t="s">
        <v>32</v>
      </c>
    </row>
    <row r="19" spans="1:25" x14ac:dyDescent="0.25">
      <c r="A19" t="s">
        <v>426</v>
      </c>
      <c r="B19" t="s">
        <v>427</v>
      </c>
      <c r="C19" s="24">
        <v>44379</v>
      </c>
      <c r="D19" s="14">
        <v>264000</v>
      </c>
      <c r="E19" t="s">
        <v>27</v>
      </c>
      <c r="F19" t="s">
        <v>28</v>
      </c>
      <c r="G19" s="14">
        <v>264000</v>
      </c>
      <c r="H19" s="14">
        <v>147200</v>
      </c>
      <c r="I19" s="19">
        <f t="shared" si="0"/>
        <v>55.757575757575765</v>
      </c>
      <c r="J19" s="14">
        <v>294321</v>
      </c>
      <c r="K19" s="14">
        <f>G19-234321</f>
        <v>29679</v>
      </c>
      <c r="L19" s="14">
        <v>60000</v>
      </c>
      <c r="M19" s="29">
        <v>0</v>
      </c>
      <c r="N19" s="33">
        <v>0</v>
      </c>
      <c r="O19" s="38">
        <v>0.24</v>
      </c>
      <c r="P19" s="38">
        <v>0.24</v>
      </c>
      <c r="Q19" s="14" t="e">
        <f t="shared" si="1"/>
        <v>#DIV/0!</v>
      </c>
      <c r="R19" s="14">
        <f t="shared" si="2"/>
        <v>123662.5</v>
      </c>
      <c r="S19" s="43">
        <f t="shared" si="3"/>
        <v>2.8389003673094582</v>
      </c>
      <c r="T19" s="38">
        <v>0</v>
      </c>
      <c r="U19" s="5" t="s">
        <v>356</v>
      </c>
      <c r="V19" t="s">
        <v>428</v>
      </c>
      <c r="X19" t="s">
        <v>358</v>
      </c>
      <c r="Y19" s="6" t="s">
        <v>32</v>
      </c>
    </row>
    <row r="20" spans="1:25" x14ac:dyDescent="0.25">
      <c r="A20" t="s">
        <v>429</v>
      </c>
      <c r="B20" t="s">
        <v>430</v>
      </c>
      <c r="C20" s="24">
        <v>44333</v>
      </c>
      <c r="D20" s="14">
        <v>260000</v>
      </c>
      <c r="E20" t="s">
        <v>27</v>
      </c>
      <c r="F20" t="s">
        <v>28</v>
      </c>
      <c r="G20" s="14">
        <v>260000</v>
      </c>
      <c r="H20" s="14">
        <v>145900</v>
      </c>
      <c r="I20" s="19">
        <f t="shared" si="0"/>
        <v>56.115384615384613</v>
      </c>
      <c r="J20" s="14">
        <v>291883</v>
      </c>
      <c r="K20" s="14">
        <f>G20-231883</f>
        <v>28117</v>
      </c>
      <c r="L20" s="14">
        <v>60000</v>
      </c>
      <c r="M20" s="29">
        <v>0</v>
      </c>
      <c r="N20" s="33">
        <v>0</v>
      </c>
      <c r="O20" s="38">
        <v>0.27</v>
      </c>
      <c r="P20" s="38">
        <v>0.27</v>
      </c>
      <c r="Q20" s="14" t="e">
        <f t="shared" si="1"/>
        <v>#DIV/0!</v>
      </c>
      <c r="R20" s="14">
        <f t="shared" si="2"/>
        <v>104137.03703703704</v>
      </c>
      <c r="S20" s="43">
        <f t="shared" si="3"/>
        <v>2.3906574159099412</v>
      </c>
      <c r="T20" s="38">
        <v>0</v>
      </c>
      <c r="U20" s="5" t="s">
        <v>356</v>
      </c>
      <c r="V20" t="s">
        <v>431</v>
      </c>
      <c r="X20" t="s">
        <v>358</v>
      </c>
      <c r="Y20" s="6" t="s">
        <v>32</v>
      </c>
    </row>
    <row r="21" spans="1:25" x14ac:dyDescent="0.25">
      <c r="A21" t="s">
        <v>432</v>
      </c>
      <c r="B21" t="s">
        <v>433</v>
      </c>
      <c r="C21" s="24">
        <v>44473</v>
      </c>
      <c r="D21" s="14">
        <v>246000</v>
      </c>
      <c r="E21" t="s">
        <v>27</v>
      </c>
      <c r="F21" t="s">
        <v>28</v>
      </c>
      <c r="G21" s="14">
        <v>246000</v>
      </c>
      <c r="H21" s="14">
        <v>137600</v>
      </c>
      <c r="I21" s="19">
        <f t="shared" si="0"/>
        <v>55.934959349593491</v>
      </c>
      <c r="J21" s="14">
        <v>275239</v>
      </c>
      <c r="K21" s="14">
        <f>G21-215239</f>
        <v>30761</v>
      </c>
      <c r="L21" s="14">
        <v>60000</v>
      </c>
      <c r="M21" s="29">
        <v>0</v>
      </c>
      <c r="N21" s="33">
        <v>0</v>
      </c>
      <c r="O21" s="38">
        <v>0.32</v>
      </c>
      <c r="P21" s="38">
        <v>0.32</v>
      </c>
      <c r="Q21" s="14" t="e">
        <f t="shared" si="1"/>
        <v>#DIV/0!</v>
      </c>
      <c r="R21" s="14">
        <f t="shared" si="2"/>
        <v>96128.125</v>
      </c>
      <c r="S21" s="43">
        <f t="shared" si="3"/>
        <v>2.2067980945821857</v>
      </c>
      <c r="T21" s="38">
        <v>0</v>
      </c>
      <c r="U21" s="5" t="s">
        <v>356</v>
      </c>
      <c r="V21" t="s">
        <v>434</v>
      </c>
      <c r="X21" t="s">
        <v>358</v>
      </c>
      <c r="Y21" s="6" t="s">
        <v>32</v>
      </c>
    </row>
    <row r="22" spans="1:25" x14ac:dyDescent="0.25">
      <c r="A22" t="s">
        <v>435</v>
      </c>
      <c r="B22" t="s">
        <v>436</v>
      </c>
      <c r="C22" s="24">
        <v>44365</v>
      </c>
      <c r="D22" s="14">
        <v>206000</v>
      </c>
      <c r="E22" t="s">
        <v>27</v>
      </c>
      <c r="F22" t="s">
        <v>28</v>
      </c>
      <c r="G22" s="14">
        <v>206000</v>
      </c>
      <c r="H22" s="14">
        <v>114300</v>
      </c>
      <c r="I22" s="19">
        <f t="shared" si="0"/>
        <v>55.485436893203889</v>
      </c>
      <c r="J22" s="14">
        <v>228694</v>
      </c>
      <c r="K22" s="14">
        <f>G22-168694</f>
        <v>37306</v>
      </c>
      <c r="L22" s="14">
        <v>60000</v>
      </c>
      <c r="M22" s="29">
        <v>0</v>
      </c>
      <c r="N22" s="33">
        <v>0</v>
      </c>
      <c r="O22" s="38">
        <v>0.44</v>
      </c>
      <c r="P22" s="38">
        <v>0.44</v>
      </c>
      <c r="Q22" s="14" t="e">
        <f t="shared" si="1"/>
        <v>#DIV/0!</v>
      </c>
      <c r="R22" s="14">
        <f t="shared" si="2"/>
        <v>84786.363636363632</v>
      </c>
      <c r="S22" s="43">
        <f t="shared" si="3"/>
        <v>1.9464270807246014</v>
      </c>
      <c r="T22" s="38">
        <v>0</v>
      </c>
      <c r="U22" s="5" t="s">
        <v>356</v>
      </c>
      <c r="V22" t="s">
        <v>437</v>
      </c>
      <c r="X22" t="s">
        <v>358</v>
      </c>
      <c r="Y22" s="6" t="s">
        <v>32</v>
      </c>
    </row>
    <row r="23" spans="1:25" x14ac:dyDescent="0.25">
      <c r="A23" t="s">
        <v>438</v>
      </c>
      <c r="B23" t="s">
        <v>439</v>
      </c>
      <c r="C23" s="24">
        <v>44517</v>
      </c>
      <c r="D23" s="14">
        <v>345000</v>
      </c>
      <c r="E23" t="s">
        <v>27</v>
      </c>
      <c r="F23" t="s">
        <v>28</v>
      </c>
      <c r="G23" s="14">
        <v>345000</v>
      </c>
      <c r="H23" s="14">
        <v>135500</v>
      </c>
      <c r="I23" s="19">
        <f t="shared" si="0"/>
        <v>39.275362318840578</v>
      </c>
      <c r="J23" s="14">
        <v>270971</v>
      </c>
      <c r="K23" s="14">
        <f>G23-210971</f>
        <v>134029</v>
      </c>
      <c r="L23" s="14">
        <v>60000</v>
      </c>
      <c r="M23" s="29">
        <v>0</v>
      </c>
      <c r="N23" s="33">
        <v>0</v>
      </c>
      <c r="O23" s="38">
        <v>0.31</v>
      </c>
      <c r="P23" s="38">
        <v>0.31</v>
      </c>
      <c r="Q23" s="14" t="e">
        <f t="shared" si="1"/>
        <v>#DIV/0!</v>
      </c>
      <c r="R23" s="14">
        <f t="shared" si="2"/>
        <v>432351.61290322582</v>
      </c>
      <c r="S23" s="43">
        <f t="shared" si="3"/>
        <v>9.9254272934624836</v>
      </c>
      <c r="T23" s="38">
        <v>0</v>
      </c>
      <c r="U23" s="5" t="s">
        <v>356</v>
      </c>
      <c r="V23" t="s">
        <v>440</v>
      </c>
      <c r="X23" t="s">
        <v>358</v>
      </c>
      <c r="Y23" s="6" t="s">
        <v>32</v>
      </c>
    </row>
    <row r="24" spans="1:25" x14ac:dyDescent="0.25">
      <c r="A24" t="s">
        <v>572</v>
      </c>
      <c r="B24" t="s">
        <v>573</v>
      </c>
      <c r="C24" s="24">
        <v>45072</v>
      </c>
      <c r="D24" s="14">
        <v>94900</v>
      </c>
      <c r="E24" t="s">
        <v>27</v>
      </c>
      <c r="F24" t="s">
        <v>28</v>
      </c>
      <c r="G24" s="14">
        <v>94900</v>
      </c>
      <c r="H24" s="14">
        <v>36600</v>
      </c>
      <c r="I24" s="19">
        <f t="shared" si="0"/>
        <v>38.566912539515279</v>
      </c>
      <c r="J24" s="14">
        <v>73161</v>
      </c>
      <c r="K24" s="14">
        <f>G24-43161</f>
        <v>51739</v>
      </c>
      <c r="L24" s="14">
        <v>30000</v>
      </c>
      <c r="M24" s="29">
        <v>0</v>
      </c>
      <c r="N24" s="33">
        <v>0</v>
      </c>
      <c r="O24" s="38">
        <v>0.23</v>
      </c>
      <c r="P24" s="38">
        <v>0.23</v>
      </c>
      <c r="Q24" s="14" t="e">
        <f t="shared" si="1"/>
        <v>#DIV/0!</v>
      </c>
      <c r="R24" s="14">
        <f t="shared" si="2"/>
        <v>224952.17391304346</v>
      </c>
      <c r="S24" s="43">
        <f t="shared" si="3"/>
        <v>5.1641913203178023</v>
      </c>
      <c r="T24" s="38">
        <v>0</v>
      </c>
      <c r="U24" s="5" t="s">
        <v>29</v>
      </c>
      <c r="V24" t="s">
        <v>574</v>
      </c>
      <c r="X24" t="s">
        <v>358</v>
      </c>
      <c r="Y24" s="6" t="s">
        <v>32</v>
      </c>
    </row>
    <row r="25" spans="1:25" x14ac:dyDescent="0.25">
      <c r="A25" t="s">
        <v>575</v>
      </c>
      <c r="B25" t="s">
        <v>576</v>
      </c>
      <c r="C25" s="24">
        <v>44662</v>
      </c>
      <c r="D25" s="14">
        <v>133000</v>
      </c>
      <c r="E25" t="s">
        <v>27</v>
      </c>
      <c r="F25" t="s">
        <v>28</v>
      </c>
      <c r="G25" s="14">
        <v>133000</v>
      </c>
      <c r="H25" s="14">
        <v>49100</v>
      </c>
      <c r="I25" s="19">
        <f t="shared" si="0"/>
        <v>36.917293233082702</v>
      </c>
      <c r="J25" s="14">
        <v>98162</v>
      </c>
      <c r="K25" s="14">
        <f>G25-68162</f>
        <v>64838</v>
      </c>
      <c r="L25" s="14">
        <v>30000</v>
      </c>
      <c r="M25" s="29">
        <v>0</v>
      </c>
      <c r="N25" s="33">
        <v>0</v>
      </c>
      <c r="O25" s="38">
        <v>0.23</v>
      </c>
      <c r="P25" s="38">
        <v>0.23</v>
      </c>
      <c r="Q25" s="14" t="e">
        <f t="shared" si="1"/>
        <v>#DIV/0!</v>
      </c>
      <c r="R25" s="14">
        <f t="shared" si="2"/>
        <v>281904.34782608692</v>
      </c>
      <c r="S25" s="43">
        <f t="shared" si="3"/>
        <v>6.4716333293408379</v>
      </c>
      <c r="T25" s="38">
        <v>0</v>
      </c>
      <c r="U25" s="5" t="s">
        <v>29</v>
      </c>
      <c r="V25" t="s">
        <v>578</v>
      </c>
      <c r="X25" t="s">
        <v>358</v>
      </c>
      <c r="Y25" s="6" t="s">
        <v>32</v>
      </c>
    </row>
    <row r="26" spans="1:25" x14ac:dyDescent="0.25">
      <c r="A26" t="s">
        <v>575</v>
      </c>
      <c r="B26" t="s">
        <v>576</v>
      </c>
      <c r="C26" s="24">
        <v>44662</v>
      </c>
      <c r="D26" s="14">
        <v>75000</v>
      </c>
      <c r="E26" t="s">
        <v>27</v>
      </c>
      <c r="F26" t="s">
        <v>28</v>
      </c>
      <c r="G26" s="14">
        <v>75000</v>
      </c>
      <c r="H26" s="14">
        <v>49100</v>
      </c>
      <c r="I26" s="19">
        <f t="shared" si="0"/>
        <v>65.466666666666669</v>
      </c>
      <c r="J26" s="14">
        <v>98162</v>
      </c>
      <c r="K26" s="14">
        <f>G26-68162</f>
        <v>6838</v>
      </c>
      <c r="L26" s="14">
        <v>30000</v>
      </c>
      <c r="M26" s="29">
        <v>0</v>
      </c>
      <c r="N26" s="33">
        <v>0</v>
      </c>
      <c r="O26" s="38">
        <v>0.23</v>
      </c>
      <c r="P26" s="38">
        <v>0.23</v>
      </c>
      <c r="Q26" s="14" t="e">
        <f t="shared" si="1"/>
        <v>#DIV/0!</v>
      </c>
      <c r="R26" s="14">
        <f t="shared" si="2"/>
        <v>29730.434782608696</v>
      </c>
      <c r="S26" s="43">
        <f t="shared" si="3"/>
        <v>0.68251686828761926</v>
      </c>
      <c r="T26" s="38">
        <v>0</v>
      </c>
      <c r="U26" s="5" t="s">
        <v>29</v>
      </c>
      <c r="V26" t="s">
        <v>577</v>
      </c>
      <c r="X26" t="s">
        <v>358</v>
      </c>
      <c r="Y26" s="6" t="s">
        <v>32</v>
      </c>
    </row>
    <row r="27" spans="1:25" x14ac:dyDescent="0.25">
      <c r="A27" t="s">
        <v>610</v>
      </c>
      <c r="B27" t="s">
        <v>611</v>
      </c>
      <c r="C27" s="24">
        <v>44550</v>
      </c>
      <c r="D27" s="14">
        <v>230000</v>
      </c>
      <c r="E27" t="s">
        <v>27</v>
      </c>
      <c r="F27" t="s">
        <v>28</v>
      </c>
      <c r="G27" s="14">
        <v>230000</v>
      </c>
      <c r="H27" s="14">
        <v>93600</v>
      </c>
      <c r="I27" s="19">
        <f t="shared" si="0"/>
        <v>40.695652173913047</v>
      </c>
      <c r="J27" s="14">
        <v>187188</v>
      </c>
      <c r="K27" s="14">
        <f>G27-137188</f>
        <v>92812</v>
      </c>
      <c r="L27" s="14">
        <v>50000</v>
      </c>
      <c r="M27" s="29">
        <v>0</v>
      </c>
      <c r="N27" s="33">
        <v>0</v>
      </c>
      <c r="O27" s="38">
        <v>0.31</v>
      </c>
      <c r="P27" s="38">
        <v>0.31</v>
      </c>
      <c r="Q27" s="14" t="e">
        <f t="shared" si="1"/>
        <v>#DIV/0!</v>
      </c>
      <c r="R27" s="14">
        <f t="shared" si="2"/>
        <v>299393.54838709679</v>
      </c>
      <c r="S27" s="43">
        <f t="shared" si="3"/>
        <v>6.8731301282620931</v>
      </c>
      <c r="T27" s="38">
        <v>0</v>
      </c>
      <c r="U27" s="5" t="s">
        <v>356</v>
      </c>
      <c r="V27" t="s">
        <v>612</v>
      </c>
      <c r="X27" t="s">
        <v>358</v>
      </c>
      <c r="Y27" s="6" t="s">
        <v>32</v>
      </c>
    </row>
    <row r="28" spans="1:25" ht="15.75" thickBot="1" x14ac:dyDescent="0.3">
      <c r="A28" t="s">
        <v>766</v>
      </c>
      <c r="B28" t="s">
        <v>767</v>
      </c>
      <c r="C28" s="24">
        <v>45019</v>
      </c>
      <c r="D28" s="14">
        <v>260000</v>
      </c>
      <c r="E28" t="s">
        <v>27</v>
      </c>
      <c r="F28" t="s">
        <v>28</v>
      </c>
      <c r="G28" s="14">
        <v>260000</v>
      </c>
      <c r="H28" s="14">
        <v>103900</v>
      </c>
      <c r="I28" s="19">
        <f t="shared" si="0"/>
        <v>39.96153846153846</v>
      </c>
      <c r="J28" s="14">
        <v>207780</v>
      </c>
      <c r="K28" s="14">
        <f>G28-161780</f>
        <v>98220</v>
      </c>
      <c r="L28" s="14">
        <v>46000</v>
      </c>
      <c r="M28" s="29">
        <v>0</v>
      </c>
      <c r="N28" s="33">
        <v>0</v>
      </c>
      <c r="O28" s="38">
        <v>0.4</v>
      </c>
      <c r="P28" s="38">
        <v>0.4</v>
      </c>
      <c r="Q28" s="14" t="e">
        <f t="shared" si="1"/>
        <v>#DIV/0!</v>
      </c>
      <c r="R28" s="14">
        <f t="shared" si="2"/>
        <v>245550</v>
      </c>
      <c r="S28" s="43">
        <f t="shared" si="3"/>
        <v>5.637052341597796</v>
      </c>
      <c r="T28" s="38">
        <v>0</v>
      </c>
      <c r="U28" s="5" t="s">
        <v>356</v>
      </c>
      <c r="V28" t="s">
        <v>768</v>
      </c>
      <c r="X28" t="s">
        <v>358</v>
      </c>
      <c r="Y28" s="6" t="s">
        <v>32</v>
      </c>
    </row>
    <row r="29" spans="1:25" ht="15.75" thickTop="1" x14ac:dyDescent="0.25">
      <c r="A29" s="7"/>
      <c r="B29" s="7"/>
      <c r="C29" s="25" t="s">
        <v>769</v>
      </c>
      <c r="D29" s="15">
        <f>+SUM(D4:D28)</f>
        <v>5504650</v>
      </c>
      <c r="E29" s="7"/>
      <c r="F29" s="7"/>
      <c r="G29" s="15">
        <f>+SUM(G4:G28)</f>
        <v>5504650</v>
      </c>
      <c r="H29" s="15">
        <f>+SUM(H4:H28)</f>
        <v>2554200</v>
      </c>
      <c r="I29" s="20"/>
      <c r="J29" s="15">
        <f>+SUM(J4:J28)</f>
        <v>5108170</v>
      </c>
      <c r="K29" s="15">
        <f>+SUM(K4:K28)</f>
        <v>1652480</v>
      </c>
      <c r="L29" s="15">
        <f>+SUM(L4:L28)</f>
        <v>1256000</v>
      </c>
      <c r="M29" s="30">
        <f>+SUM(M4:M28)</f>
        <v>0</v>
      </c>
      <c r="N29" s="34"/>
      <c r="O29" s="39">
        <f>+SUM(O4:O28)</f>
        <v>8.1700000000000017</v>
      </c>
      <c r="P29" s="39">
        <f>+SUM(P4:P28)</f>
        <v>8.1700000000000017</v>
      </c>
      <c r="Q29" s="15"/>
      <c r="R29" s="15"/>
      <c r="S29" s="44"/>
      <c r="T29" s="39"/>
      <c r="U29" s="8"/>
      <c r="V29" s="7"/>
      <c r="W29" s="7"/>
      <c r="X29" s="7"/>
      <c r="Y29" s="7"/>
    </row>
    <row r="30" spans="1:25" x14ac:dyDescent="0.25">
      <c r="A30" s="9"/>
      <c r="B30" s="9"/>
      <c r="C30" s="26"/>
      <c r="D30" s="16"/>
      <c r="E30" s="9"/>
      <c r="F30" s="9"/>
      <c r="G30" s="16"/>
      <c r="H30" s="16" t="s">
        <v>770</v>
      </c>
      <c r="I30" s="21">
        <f>H29/G29*100</f>
        <v>46.400770257872892</v>
      </c>
      <c r="J30" s="16"/>
      <c r="K30" s="16"/>
      <c r="L30" s="16" t="s">
        <v>771</v>
      </c>
      <c r="M30" s="31"/>
      <c r="N30" s="35"/>
      <c r="O30" s="40" t="s">
        <v>771</v>
      </c>
      <c r="P30" s="40"/>
      <c r="Q30" s="16"/>
      <c r="R30" s="16" t="s">
        <v>771</v>
      </c>
      <c r="S30" s="45"/>
      <c r="T30" s="40"/>
      <c r="U30" s="10"/>
      <c r="V30" s="9"/>
      <c r="W30" s="9"/>
      <c r="X30" s="9"/>
      <c r="Y30" s="9"/>
    </row>
    <row r="31" spans="1:25" x14ac:dyDescent="0.25">
      <c r="A31" s="11"/>
      <c r="B31" s="11"/>
      <c r="C31" s="27"/>
      <c r="D31" s="17"/>
      <c r="E31" s="11"/>
      <c r="F31" s="11"/>
      <c r="G31" s="17"/>
      <c r="H31" s="17" t="s">
        <v>772</v>
      </c>
      <c r="I31" s="22">
        <f>STDEV(I4:I28)</f>
        <v>7.4806754766081784</v>
      </c>
      <c r="J31" s="17"/>
      <c r="K31" s="17"/>
      <c r="L31" s="17" t="s">
        <v>773</v>
      </c>
      <c r="M31" s="47" t="e">
        <f>K29/M29</f>
        <v>#DIV/0!</v>
      </c>
      <c r="N31" s="36"/>
      <c r="O31" s="41" t="s">
        <v>774</v>
      </c>
      <c r="P31" s="41">
        <f>K29/O29</f>
        <v>202261.93390452873</v>
      </c>
      <c r="Q31" s="17"/>
      <c r="R31" s="17" t="s">
        <v>775</v>
      </c>
      <c r="S31" s="46">
        <f>K29/O29/43560</f>
        <v>4.6432950850442776</v>
      </c>
      <c r="T31" s="41"/>
      <c r="U31" s="12"/>
      <c r="V31" s="11"/>
      <c r="W31" s="11"/>
      <c r="X31" s="11"/>
      <c r="Y31" s="11"/>
    </row>
    <row r="34" spans="1:45" x14ac:dyDescent="0.25">
      <c r="A34" s="48" t="s">
        <v>778</v>
      </c>
    </row>
    <row r="35" spans="1:45" x14ac:dyDescent="0.25">
      <c r="A35" s="1" t="s">
        <v>0</v>
      </c>
      <c r="B35" s="1" t="s">
        <v>1</v>
      </c>
      <c r="C35" s="23" t="s">
        <v>2</v>
      </c>
      <c r="D35" s="13" t="s">
        <v>3</v>
      </c>
      <c r="E35" s="1" t="s">
        <v>4</v>
      </c>
      <c r="F35" s="1" t="s">
        <v>5</v>
      </c>
      <c r="G35" s="13" t="s">
        <v>6</v>
      </c>
      <c r="H35" s="13" t="s">
        <v>7</v>
      </c>
      <c r="I35" s="18" t="s">
        <v>8</v>
      </c>
      <c r="J35" s="13" t="s">
        <v>9</v>
      </c>
      <c r="K35" s="13" t="s">
        <v>10</v>
      </c>
      <c r="L35" s="13" t="s">
        <v>11</v>
      </c>
      <c r="M35" s="28" t="s">
        <v>12</v>
      </c>
      <c r="N35" s="32" t="s">
        <v>13</v>
      </c>
      <c r="O35" s="37" t="s">
        <v>785</v>
      </c>
      <c r="P35" s="37" t="s">
        <v>15</v>
      </c>
      <c r="Q35" s="13" t="s">
        <v>16</v>
      </c>
      <c r="R35" s="13" t="s">
        <v>17</v>
      </c>
      <c r="S35" s="42" t="s">
        <v>18</v>
      </c>
      <c r="T35" s="37" t="s">
        <v>19</v>
      </c>
      <c r="U35" s="3" t="s">
        <v>20</v>
      </c>
      <c r="V35" s="1" t="s">
        <v>21</v>
      </c>
      <c r="W35" s="1" t="s">
        <v>22</v>
      </c>
      <c r="X35" s="1" t="s">
        <v>23</v>
      </c>
      <c r="Y35" s="1" t="s">
        <v>24</v>
      </c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</row>
    <row r="36" spans="1:45" x14ac:dyDescent="0.25">
      <c r="A36" t="s">
        <v>429</v>
      </c>
      <c r="B36" t="s">
        <v>430</v>
      </c>
      <c r="C36" s="24">
        <v>44333</v>
      </c>
      <c r="D36" s="14">
        <v>260000</v>
      </c>
      <c r="E36" t="s">
        <v>27</v>
      </c>
      <c r="F36" t="s">
        <v>28</v>
      </c>
      <c r="G36" s="14">
        <v>260000</v>
      </c>
      <c r="H36" s="14">
        <v>145900</v>
      </c>
      <c r="I36" s="19">
        <f t="shared" ref="I36:I46" si="4">H36/G36*100</f>
        <v>56.115384615384613</v>
      </c>
      <c r="J36" s="14">
        <v>291883</v>
      </c>
      <c r="K36" s="14">
        <f>G36-231883</f>
        <v>28117</v>
      </c>
      <c r="L36" s="14">
        <v>60000</v>
      </c>
      <c r="M36" s="29">
        <v>0</v>
      </c>
      <c r="N36" s="33">
        <v>0</v>
      </c>
      <c r="O36" s="38">
        <v>1</v>
      </c>
      <c r="P36" s="38">
        <v>0.27</v>
      </c>
      <c r="Q36" s="14" t="e">
        <f t="shared" ref="Q36:Q46" si="5">K36/M36</f>
        <v>#DIV/0!</v>
      </c>
      <c r="R36" s="14">
        <f t="shared" ref="R36:R46" si="6">K36/O36</f>
        <v>28117</v>
      </c>
      <c r="S36" s="43">
        <f t="shared" ref="S36:S46" si="7">K36/O36/43560</f>
        <v>0.64547750229568412</v>
      </c>
      <c r="T36" s="38">
        <v>0</v>
      </c>
      <c r="U36" s="5" t="s">
        <v>356</v>
      </c>
      <c r="V36" t="s">
        <v>431</v>
      </c>
      <c r="X36" t="s">
        <v>358</v>
      </c>
      <c r="Y36" s="6" t="s">
        <v>32</v>
      </c>
    </row>
    <row r="37" spans="1:45" x14ac:dyDescent="0.25">
      <c r="A37" t="s">
        <v>426</v>
      </c>
      <c r="B37" t="s">
        <v>427</v>
      </c>
      <c r="C37" s="24">
        <v>44379</v>
      </c>
      <c r="D37" s="14">
        <v>264000</v>
      </c>
      <c r="E37" t="s">
        <v>27</v>
      </c>
      <c r="F37" t="s">
        <v>28</v>
      </c>
      <c r="G37" s="14">
        <v>264000</v>
      </c>
      <c r="H37" s="14">
        <v>147200</v>
      </c>
      <c r="I37" s="19">
        <f t="shared" si="4"/>
        <v>55.757575757575765</v>
      </c>
      <c r="J37" s="14">
        <v>294321</v>
      </c>
      <c r="K37" s="14">
        <f>G37-234321</f>
        <v>29679</v>
      </c>
      <c r="L37" s="14">
        <v>60000</v>
      </c>
      <c r="M37" s="29">
        <v>0</v>
      </c>
      <c r="N37" s="33">
        <v>0</v>
      </c>
      <c r="O37" s="38">
        <v>1</v>
      </c>
      <c r="P37" s="38">
        <v>0.24</v>
      </c>
      <c r="Q37" s="14" t="e">
        <f t="shared" si="5"/>
        <v>#DIV/0!</v>
      </c>
      <c r="R37" s="14">
        <f t="shared" si="6"/>
        <v>29679</v>
      </c>
      <c r="S37" s="43">
        <f t="shared" si="7"/>
        <v>0.68133608815426994</v>
      </c>
      <c r="T37" s="38">
        <v>0</v>
      </c>
      <c r="U37" s="5" t="s">
        <v>356</v>
      </c>
      <c r="V37" t="s">
        <v>428</v>
      </c>
      <c r="X37" t="s">
        <v>358</v>
      </c>
      <c r="Y37" s="6" t="s">
        <v>32</v>
      </c>
    </row>
    <row r="38" spans="1:45" x14ac:dyDescent="0.25">
      <c r="A38" t="s">
        <v>432</v>
      </c>
      <c r="B38" t="s">
        <v>433</v>
      </c>
      <c r="C38" s="24">
        <v>44473</v>
      </c>
      <c r="D38" s="14">
        <v>246000</v>
      </c>
      <c r="E38" t="s">
        <v>27</v>
      </c>
      <c r="F38" t="s">
        <v>28</v>
      </c>
      <c r="G38" s="14">
        <v>246000</v>
      </c>
      <c r="H38" s="14">
        <v>137600</v>
      </c>
      <c r="I38" s="19">
        <f t="shared" si="4"/>
        <v>55.934959349593491</v>
      </c>
      <c r="J38" s="14">
        <v>275239</v>
      </c>
      <c r="K38" s="14">
        <f>G38-215239</f>
        <v>30761</v>
      </c>
      <c r="L38" s="14">
        <v>60000</v>
      </c>
      <c r="M38" s="29">
        <v>0</v>
      </c>
      <c r="N38" s="33">
        <v>0</v>
      </c>
      <c r="O38" s="38">
        <v>1</v>
      </c>
      <c r="P38" s="38">
        <v>0.32</v>
      </c>
      <c r="Q38" s="14" t="e">
        <f t="shared" si="5"/>
        <v>#DIV/0!</v>
      </c>
      <c r="R38" s="14">
        <f t="shared" si="6"/>
        <v>30761</v>
      </c>
      <c r="S38" s="43">
        <f t="shared" si="7"/>
        <v>0.70617539026629939</v>
      </c>
      <c r="T38" s="38">
        <v>0</v>
      </c>
      <c r="U38" s="5" t="s">
        <v>356</v>
      </c>
      <c r="V38" t="s">
        <v>434</v>
      </c>
      <c r="X38" t="s">
        <v>358</v>
      </c>
      <c r="Y38" s="6" t="s">
        <v>32</v>
      </c>
    </row>
    <row r="39" spans="1:45" x14ac:dyDescent="0.25">
      <c r="A39" t="s">
        <v>435</v>
      </c>
      <c r="B39" t="s">
        <v>436</v>
      </c>
      <c r="C39" s="24">
        <v>44365</v>
      </c>
      <c r="D39" s="14">
        <v>206000</v>
      </c>
      <c r="E39" t="s">
        <v>27</v>
      </c>
      <c r="F39" t="s">
        <v>28</v>
      </c>
      <c r="G39" s="14">
        <v>206000</v>
      </c>
      <c r="H39" s="14">
        <v>114300</v>
      </c>
      <c r="I39" s="19">
        <f t="shared" si="4"/>
        <v>55.485436893203889</v>
      </c>
      <c r="J39" s="14">
        <v>228694</v>
      </c>
      <c r="K39" s="14">
        <f>G39-168694</f>
        <v>37306</v>
      </c>
      <c r="L39" s="14">
        <v>60000</v>
      </c>
      <c r="M39" s="29">
        <v>0</v>
      </c>
      <c r="N39" s="33">
        <v>0</v>
      </c>
      <c r="O39" s="38">
        <v>1</v>
      </c>
      <c r="P39" s="38">
        <v>0.44</v>
      </c>
      <c r="Q39" s="14" t="e">
        <f t="shared" si="5"/>
        <v>#DIV/0!</v>
      </c>
      <c r="R39" s="14">
        <f t="shared" si="6"/>
        <v>37306</v>
      </c>
      <c r="S39" s="43">
        <f t="shared" si="7"/>
        <v>0.85642791551882458</v>
      </c>
      <c r="T39" s="38">
        <v>0</v>
      </c>
      <c r="U39" s="5" t="s">
        <v>356</v>
      </c>
      <c r="V39" t="s">
        <v>437</v>
      </c>
      <c r="X39" t="s">
        <v>358</v>
      </c>
      <c r="Y39" s="6" t="s">
        <v>32</v>
      </c>
    </row>
    <row r="40" spans="1:45" x14ac:dyDescent="0.25">
      <c r="A40" t="s">
        <v>408</v>
      </c>
      <c r="B40" t="s">
        <v>409</v>
      </c>
      <c r="C40" s="24">
        <v>44963</v>
      </c>
      <c r="D40" s="14">
        <v>260000</v>
      </c>
      <c r="E40" t="s">
        <v>27</v>
      </c>
      <c r="F40" t="s">
        <v>28</v>
      </c>
      <c r="G40" s="14">
        <v>260000</v>
      </c>
      <c r="H40" s="14">
        <v>137200</v>
      </c>
      <c r="I40" s="19">
        <f t="shared" si="4"/>
        <v>52.769230769230766</v>
      </c>
      <c r="J40" s="14">
        <v>274416</v>
      </c>
      <c r="K40" s="14">
        <f>G40-214416</f>
        <v>45584</v>
      </c>
      <c r="L40" s="14">
        <v>60000</v>
      </c>
      <c r="M40" s="29">
        <v>0</v>
      </c>
      <c r="N40" s="33">
        <v>0</v>
      </c>
      <c r="O40" s="38">
        <v>1</v>
      </c>
      <c r="P40" s="38">
        <v>0.25</v>
      </c>
      <c r="Q40" s="14" t="e">
        <f t="shared" si="5"/>
        <v>#DIV/0!</v>
      </c>
      <c r="R40" s="14">
        <f t="shared" si="6"/>
        <v>45584</v>
      </c>
      <c r="S40" s="43">
        <f t="shared" si="7"/>
        <v>1.0464646464646465</v>
      </c>
      <c r="T40" s="38">
        <v>0</v>
      </c>
      <c r="U40" s="5" t="s">
        <v>356</v>
      </c>
      <c r="V40" t="s">
        <v>410</v>
      </c>
      <c r="X40" t="s">
        <v>358</v>
      </c>
      <c r="Y40" s="6" t="s">
        <v>32</v>
      </c>
    </row>
    <row r="41" spans="1:45" x14ac:dyDescent="0.25">
      <c r="A41" t="s">
        <v>405</v>
      </c>
      <c r="B41" t="s">
        <v>406</v>
      </c>
      <c r="C41" s="24">
        <v>44974</v>
      </c>
      <c r="D41" s="14">
        <v>212500</v>
      </c>
      <c r="E41" t="s">
        <v>27</v>
      </c>
      <c r="F41" t="s">
        <v>28</v>
      </c>
      <c r="G41" s="14">
        <v>212500</v>
      </c>
      <c r="H41" s="14">
        <v>103300</v>
      </c>
      <c r="I41" s="19">
        <f t="shared" si="4"/>
        <v>48.611764705882351</v>
      </c>
      <c r="J41" s="14">
        <v>206561</v>
      </c>
      <c r="K41" s="14">
        <f>G41-146561</f>
        <v>65939</v>
      </c>
      <c r="L41" s="14">
        <v>60000</v>
      </c>
      <c r="M41" s="29">
        <v>0</v>
      </c>
      <c r="N41" s="33">
        <v>0</v>
      </c>
      <c r="O41" s="38">
        <v>1</v>
      </c>
      <c r="P41" s="38">
        <v>0.3</v>
      </c>
      <c r="Q41" s="14" t="e">
        <f t="shared" si="5"/>
        <v>#DIV/0!</v>
      </c>
      <c r="R41" s="14">
        <f t="shared" si="6"/>
        <v>65939</v>
      </c>
      <c r="S41" s="43">
        <f t="shared" si="7"/>
        <v>1.5137511478420569</v>
      </c>
      <c r="T41" s="38">
        <v>0</v>
      </c>
      <c r="U41" s="5" t="s">
        <v>356</v>
      </c>
      <c r="V41" t="s">
        <v>407</v>
      </c>
      <c r="X41" t="s">
        <v>358</v>
      </c>
      <c r="Y41" s="6" t="s">
        <v>32</v>
      </c>
    </row>
    <row r="42" spans="1:45" x14ac:dyDescent="0.25">
      <c r="A42" t="s">
        <v>417</v>
      </c>
      <c r="B42" t="s">
        <v>418</v>
      </c>
      <c r="C42" s="24">
        <v>44400</v>
      </c>
      <c r="D42" s="14">
        <v>257500</v>
      </c>
      <c r="E42" t="s">
        <v>27</v>
      </c>
      <c r="F42" t="s">
        <v>28</v>
      </c>
      <c r="G42" s="14">
        <v>257500</v>
      </c>
      <c r="H42" s="14">
        <v>122800</v>
      </c>
      <c r="I42" s="19">
        <f t="shared" si="4"/>
        <v>47.689320388349515</v>
      </c>
      <c r="J42" s="14">
        <v>245555</v>
      </c>
      <c r="K42" s="14">
        <f>G42-185555</f>
        <v>71945</v>
      </c>
      <c r="L42" s="14">
        <v>60000</v>
      </c>
      <c r="M42" s="29">
        <v>0</v>
      </c>
      <c r="N42" s="33">
        <v>0</v>
      </c>
      <c r="O42" s="38">
        <v>1</v>
      </c>
      <c r="P42" s="38">
        <v>0.36</v>
      </c>
      <c r="Q42" s="14" t="e">
        <f t="shared" si="5"/>
        <v>#DIV/0!</v>
      </c>
      <c r="R42" s="14">
        <f t="shared" si="6"/>
        <v>71945</v>
      </c>
      <c r="S42" s="43">
        <f t="shared" si="7"/>
        <v>1.6516299357208448</v>
      </c>
      <c r="T42" s="38">
        <v>0</v>
      </c>
      <c r="U42" s="5" t="s">
        <v>356</v>
      </c>
      <c r="V42" t="s">
        <v>419</v>
      </c>
      <c r="X42" t="s">
        <v>358</v>
      </c>
      <c r="Y42" s="6" t="s">
        <v>32</v>
      </c>
    </row>
    <row r="43" spans="1:45" x14ac:dyDescent="0.25">
      <c r="A43" t="s">
        <v>420</v>
      </c>
      <c r="B43" t="s">
        <v>421</v>
      </c>
      <c r="C43" s="24">
        <v>44742</v>
      </c>
      <c r="D43" s="14">
        <v>278250</v>
      </c>
      <c r="E43" t="s">
        <v>27</v>
      </c>
      <c r="F43" t="s">
        <v>28</v>
      </c>
      <c r="G43" s="14">
        <v>278250</v>
      </c>
      <c r="H43" s="14">
        <v>129700</v>
      </c>
      <c r="I43" s="19">
        <f t="shared" si="4"/>
        <v>46.612758310871513</v>
      </c>
      <c r="J43" s="14">
        <v>259405</v>
      </c>
      <c r="K43" s="14">
        <f>G43-199405</f>
        <v>78845</v>
      </c>
      <c r="L43" s="14">
        <v>60000</v>
      </c>
      <c r="M43" s="29">
        <v>0</v>
      </c>
      <c r="N43" s="33">
        <v>0</v>
      </c>
      <c r="O43" s="38">
        <v>1</v>
      </c>
      <c r="P43" s="38">
        <v>0.31</v>
      </c>
      <c r="Q43" s="14" t="e">
        <f t="shared" si="5"/>
        <v>#DIV/0!</v>
      </c>
      <c r="R43" s="14">
        <f t="shared" si="6"/>
        <v>78845</v>
      </c>
      <c r="S43" s="43">
        <f t="shared" si="7"/>
        <v>1.810032139577594</v>
      </c>
      <c r="T43" s="38">
        <v>0</v>
      </c>
      <c r="U43" s="5" t="s">
        <v>356</v>
      </c>
      <c r="V43" t="s">
        <v>422</v>
      </c>
      <c r="X43" t="s">
        <v>358</v>
      </c>
      <c r="Y43" s="6" t="s">
        <v>32</v>
      </c>
    </row>
    <row r="44" spans="1:45" x14ac:dyDescent="0.25">
      <c r="A44" t="s">
        <v>411</v>
      </c>
      <c r="B44" t="s">
        <v>412</v>
      </c>
      <c r="C44" s="24">
        <v>44496</v>
      </c>
      <c r="D44" s="14">
        <v>235000</v>
      </c>
      <c r="E44" t="s">
        <v>27</v>
      </c>
      <c r="F44" t="s">
        <v>28</v>
      </c>
      <c r="G44" s="14">
        <v>235000</v>
      </c>
      <c r="H44" s="14">
        <v>105900</v>
      </c>
      <c r="I44" s="19">
        <f t="shared" si="4"/>
        <v>45.063829787234042</v>
      </c>
      <c r="J44" s="14">
        <v>211768</v>
      </c>
      <c r="K44" s="14">
        <f>G44-151768</f>
        <v>83232</v>
      </c>
      <c r="L44" s="14">
        <v>60000</v>
      </c>
      <c r="M44" s="29">
        <v>0</v>
      </c>
      <c r="N44" s="33">
        <v>0</v>
      </c>
      <c r="O44" s="38">
        <v>1</v>
      </c>
      <c r="P44" s="38">
        <v>0.23</v>
      </c>
      <c r="Q44" s="14" t="e">
        <f t="shared" si="5"/>
        <v>#DIV/0!</v>
      </c>
      <c r="R44" s="14">
        <f t="shared" si="6"/>
        <v>83232</v>
      </c>
      <c r="S44" s="43">
        <f t="shared" si="7"/>
        <v>1.9107438016528926</v>
      </c>
      <c r="T44" s="38">
        <v>0</v>
      </c>
      <c r="U44" s="5" t="s">
        <v>356</v>
      </c>
      <c r="V44" t="s">
        <v>413</v>
      </c>
      <c r="X44" t="s">
        <v>358</v>
      </c>
      <c r="Y44" s="6" t="s">
        <v>32</v>
      </c>
    </row>
    <row r="45" spans="1:45" x14ac:dyDescent="0.25">
      <c r="A45" t="s">
        <v>414</v>
      </c>
      <c r="B45" t="s">
        <v>415</v>
      </c>
      <c r="C45" s="24">
        <v>44627</v>
      </c>
      <c r="D45" s="14">
        <v>270000</v>
      </c>
      <c r="E45" t="s">
        <v>27</v>
      </c>
      <c r="F45" t="s">
        <v>28</v>
      </c>
      <c r="G45" s="14">
        <v>270000</v>
      </c>
      <c r="H45" s="14">
        <v>119700</v>
      </c>
      <c r="I45" s="19">
        <f t="shared" si="4"/>
        <v>44.333333333333336</v>
      </c>
      <c r="J45" s="14">
        <v>239413</v>
      </c>
      <c r="K45" s="14">
        <f>G45-179413</f>
        <v>90587</v>
      </c>
      <c r="L45" s="14">
        <v>60000</v>
      </c>
      <c r="M45" s="29">
        <v>0</v>
      </c>
      <c r="N45" s="33">
        <v>0</v>
      </c>
      <c r="O45" s="38">
        <v>1</v>
      </c>
      <c r="P45" s="38">
        <v>0.23</v>
      </c>
      <c r="Q45" s="14" t="e">
        <f t="shared" si="5"/>
        <v>#DIV/0!</v>
      </c>
      <c r="R45" s="14">
        <f t="shared" si="6"/>
        <v>90587</v>
      </c>
      <c r="S45" s="43">
        <f t="shared" si="7"/>
        <v>2.0795913682277321</v>
      </c>
      <c r="T45" s="38">
        <v>0</v>
      </c>
      <c r="U45" s="5" t="s">
        <v>356</v>
      </c>
      <c r="V45" t="s">
        <v>416</v>
      </c>
      <c r="X45" t="s">
        <v>358</v>
      </c>
      <c r="Y45" s="6" t="s">
        <v>32</v>
      </c>
    </row>
    <row r="46" spans="1:45" ht="15.75" thickBot="1" x14ac:dyDescent="0.3">
      <c r="A46" t="s">
        <v>423</v>
      </c>
      <c r="B46" t="s">
        <v>424</v>
      </c>
      <c r="C46" s="24">
        <v>44788</v>
      </c>
      <c r="D46" s="14">
        <v>270000</v>
      </c>
      <c r="E46" t="s">
        <v>27</v>
      </c>
      <c r="F46" t="s">
        <v>28</v>
      </c>
      <c r="G46" s="14">
        <v>270000</v>
      </c>
      <c r="H46" s="14">
        <v>115300</v>
      </c>
      <c r="I46" s="19">
        <f t="shared" si="4"/>
        <v>42.703703703703702</v>
      </c>
      <c r="J46" s="14">
        <v>230532</v>
      </c>
      <c r="K46" s="14">
        <f>G46-170532</f>
        <v>99468</v>
      </c>
      <c r="L46" s="14">
        <v>60000</v>
      </c>
      <c r="M46" s="29">
        <v>0</v>
      </c>
      <c r="N46" s="33">
        <v>0</v>
      </c>
      <c r="O46" s="38">
        <v>1</v>
      </c>
      <c r="P46" s="38">
        <v>0.25</v>
      </c>
      <c r="Q46" s="14" t="e">
        <f t="shared" si="5"/>
        <v>#DIV/0!</v>
      </c>
      <c r="R46" s="14">
        <f t="shared" si="6"/>
        <v>99468</v>
      </c>
      <c r="S46" s="43">
        <f t="shared" si="7"/>
        <v>2.2834710743801652</v>
      </c>
      <c r="T46" s="38">
        <v>0</v>
      </c>
      <c r="U46" s="5" t="s">
        <v>356</v>
      </c>
      <c r="V46" t="s">
        <v>425</v>
      </c>
      <c r="X46" t="s">
        <v>358</v>
      </c>
      <c r="Y46" s="6" t="s">
        <v>32</v>
      </c>
    </row>
    <row r="47" spans="1:45" ht="15.75" thickTop="1" x14ac:dyDescent="0.25">
      <c r="A47" s="7"/>
      <c r="B47" s="7"/>
      <c r="C47" s="25" t="s">
        <v>769</v>
      </c>
      <c r="D47" s="15">
        <f>+SUM(D36:D46)</f>
        <v>2759250</v>
      </c>
      <c r="E47" s="7"/>
      <c r="F47" s="7"/>
      <c r="G47" s="15">
        <f>+SUM(G36:G46)</f>
        <v>2759250</v>
      </c>
      <c r="H47" s="15">
        <f>+SUM(H36:H46)</f>
        <v>1378900</v>
      </c>
      <c r="I47" s="20"/>
      <c r="J47" s="15">
        <f>+SUM(J36:J46)</f>
        <v>2757787</v>
      </c>
      <c r="K47" s="15">
        <f>+SUM(K36:K46)</f>
        <v>661463</v>
      </c>
      <c r="L47" s="15">
        <f>+SUM(L36:L46)</f>
        <v>660000</v>
      </c>
      <c r="M47" s="30">
        <f>+SUM(M36:M46)</f>
        <v>0</v>
      </c>
      <c r="N47" s="34"/>
      <c r="O47" s="39">
        <f>+SUM(O36:O46)</f>
        <v>11</v>
      </c>
      <c r="P47" s="39">
        <f>+SUM(P36:P46)</f>
        <v>3.2</v>
      </c>
      <c r="Q47" s="15"/>
      <c r="R47" s="15"/>
      <c r="S47" s="44"/>
      <c r="T47" s="39"/>
      <c r="U47" s="8"/>
      <c r="V47" s="7"/>
      <c r="W47" s="7"/>
      <c r="X47" s="7"/>
      <c r="Y47" s="7"/>
    </row>
    <row r="48" spans="1:45" x14ac:dyDescent="0.25">
      <c r="A48" s="9"/>
      <c r="B48" s="9"/>
      <c r="C48" s="26"/>
      <c r="D48" s="16"/>
      <c r="E48" s="9"/>
      <c r="F48" s="9"/>
      <c r="G48" s="16"/>
      <c r="H48" s="16" t="s">
        <v>770</v>
      </c>
      <c r="I48" s="21">
        <f>H47/G47*100</f>
        <v>49.973724744042762</v>
      </c>
      <c r="J48" s="16"/>
      <c r="K48" s="16"/>
      <c r="L48" s="16" t="s">
        <v>771</v>
      </c>
      <c r="M48" s="31"/>
      <c r="N48" s="35"/>
      <c r="O48" s="40" t="s">
        <v>771</v>
      </c>
      <c r="P48" s="40"/>
      <c r="Q48" s="16"/>
      <c r="R48" s="16" t="s">
        <v>771</v>
      </c>
      <c r="S48" s="45"/>
      <c r="T48" s="40"/>
      <c r="U48" s="10"/>
      <c r="V48" s="9"/>
      <c r="W48" s="9"/>
      <c r="X48" s="9"/>
      <c r="Y48" s="9"/>
    </row>
    <row r="49" spans="1:45" ht="15.75" thickBot="1" x14ac:dyDescent="0.3">
      <c r="A49" s="11"/>
      <c r="B49" s="11"/>
      <c r="C49" s="27"/>
      <c r="D49" s="17"/>
      <c r="E49" s="11"/>
      <c r="F49" s="11"/>
      <c r="G49" s="17"/>
      <c r="H49" s="17" t="s">
        <v>772</v>
      </c>
      <c r="I49" s="22">
        <f>STDEV(I36:I46)</f>
        <v>5.2141842271721028</v>
      </c>
      <c r="J49" s="17"/>
      <c r="K49" s="17"/>
      <c r="L49" s="17" t="s">
        <v>773</v>
      </c>
      <c r="M49" s="47" t="e">
        <f>K47/M47</f>
        <v>#DIV/0!</v>
      </c>
      <c r="N49" s="36"/>
      <c r="O49" s="40" t="s">
        <v>786</v>
      </c>
      <c r="P49" s="40">
        <f>K47/O47</f>
        <v>60133</v>
      </c>
      <c r="Q49" s="17"/>
      <c r="R49" s="17" t="s">
        <v>775</v>
      </c>
      <c r="S49" s="46">
        <f>K47/O47/43560</f>
        <v>1.3804637281910008</v>
      </c>
      <c r="T49" s="41"/>
      <c r="U49" s="12"/>
      <c r="V49" s="11"/>
      <c r="W49" s="11"/>
      <c r="X49" s="11"/>
      <c r="Y49" s="11"/>
    </row>
    <row r="50" spans="1:45" x14ac:dyDescent="0.25">
      <c r="O50" s="49" t="s">
        <v>783</v>
      </c>
      <c r="P50" s="50">
        <v>60000</v>
      </c>
    </row>
    <row r="51" spans="1:45" ht="15.75" thickBot="1" x14ac:dyDescent="0.3">
      <c r="O51" s="51" t="s">
        <v>784</v>
      </c>
      <c r="P51" s="52">
        <v>60000</v>
      </c>
    </row>
    <row r="52" spans="1:45" x14ac:dyDescent="0.25">
      <c r="A52" s="48" t="s">
        <v>779</v>
      </c>
    </row>
    <row r="53" spans="1:45" x14ac:dyDescent="0.25">
      <c r="A53" s="1" t="s">
        <v>0</v>
      </c>
      <c r="B53" s="1" t="s">
        <v>1</v>
      </c>
      <c r="C53" s="23" t="s">
        <v>2</v>
      </c>
      <c r="D53" s="13" t="s">
        <v>3</v>
      </c>
      <c r="E53" s="1" t="s">
        <v>4</v>
      </c>
      <c r="F53" s="1" t="s">
        <v>5</v>
      </c>
      <c r="G53" s="13" t="s">
        <v>6</v>
      </c>
      <c r="H53" s="13" t="s">
        <v>7</v>
      </c>
      <c r="I53" s="18" t="s">
        <v>8</v>
      </c>
      <c r="J53" s="13" t="s">
        <v>9</v>
      </c>
      <c r="K53" s="13" t="s">
        <v>10</v>
      </c>
      <c r="L53" s="13" t="s">
        <v>11</v>
      </c>
      <c r="M53" s="28" t="s">
        <v>12</v>
      </c>
      <c r="N53" s="32" t="s">
        <v>13</v>
      </c>
      <c r="O53" s="37" t="s">
        <v>785</v>
      </c>
      <c r="P53" s="37" t="s">
        <v>15</v>
      </c>
      <c r="Q53" s="13" t="s">
        <v>16</v>
      </c>
      <c r="R53" s="13" t="s">
        <v>17</v>
      </c>
      <c r="S53" s="42" t="s">
        <v>18</v>
      </c>
      <c r="T53" s="37" t="s">
        <v>19</v>
      </c>
      <c r="U53" s="3" t="s">
        <v>20</v>
      </c>
      <c r="V53" s="1" t="s">
        <v>21</v>
      </c>
      <c r="W53" s="1" t="s">
        <v>22</v>
      </c>
      <c r="X53" s="1" t="s">
        <v>23</v>
      </c>
      <c r="Y53" s="1" t="s">
        <v>24</v>
      </c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</row>
    <row r="54" spans="1:45" ht="15.75" thickBot="1" x14ac:dyDescent="0.3">
      <c r="A54" t="s">
        <v>766</v>
      </c>
      <c r="B54" t="s">
        <v>767</v>
      </c>
      <c r="C54" s="24">
        <v>45019</v>
      </c>
      <c r="D54" s="14">
        <v>260000</v>
      </c>
      <c r="E54" t="s">
        <v>27</v>
      </c>
      <c r="F54" t="s">
        <v>28</v>
      </c>
      <c r="G54" s="14">
        <v>260000</v>
      </c>
      <c r="H54" s="14">
        <v>103900</v>
      </c>
      <c r="I54" s="19">
        <f t="shared" ref="I54" si="8">H54/G54*100</f>
        <v>39.96153846153846</v>
      </c>
      <c r="J54" s="14">
        <v>207780</v>
      </c>
      <c r="K54" s="14">
        <f>G54-161780</f>
        <v>98220</v>
      </c>
      <c r="L54" s="14">
        <v>46000</v>
      </c>
      <c r="M54" s="29">
        <v>0</v>
      </c>
      <c r="N54" s="33">
        <v>0</v>
      </c>
      <c r="O54" s="38">
        <v>1</v>
      </c>
      <c r="P54" s="38">
        <v>0.4</v>
      </c>
      <c r="Q54" s="14" t="e">
        <f t="shared" ref="Q54" si="9">K54/M54</f>
        <v>#DIV/0!</v>
      </c>
      <c r="R54" s="14">
        <f t="shared" ref="R54" si="10">K54/O54</f>
        <v>98220</v>
      </c>
      <c r="S54" s="43">
        <f t="shared" ref="S54" si="11">K54/O54/43560</f>
        <v>2.2548209366391183</v>
      </c>
      <c r="T54" s="38">
        <v>0</v>
      </c>
      <c r="U54" s="5" t="s">
        <v>356</v>
      </c>
      <c r="V54" t="s">
        <v>768</v>
      </c>
      <c r="X54" t="s">
        <v>358</v>
      </c>
      <c r="Y54" s="6" t="s">
        <v>32</v>
      </c>
    </row>
    <row r="55" spans="1:45" ht="15.75" thickTop="1" x14ac:dyDescent="0.25">
      <c r="A55" s="7"/>
      <c r="B55" s="7"/>
      <c r="C55" s="25" t="s">
        <v>769</v>
      </c>
      <c r="D55" s="15">
        <f>+SUM(D54:D54)</f>
        <v>260000</v>
      </c>
      <c r="E55" s="7"/>
      <c r="F55" s="7"/>
      <c r="G55" s="15">
        <f>+SUM(G54:G54)</f>
        <v>260000</v>
      </c>
      <c r="H55" s="15">
        <f>+SUM(H54:H54)</f>
        <v>103900</v>
      </c>
      <c r="I55" s="20"/>
      <c r="J55" s="15">
        <f>+SUM(J54:J54)</f>
        <v>207780</v>
      </c>
      <c r="K55" s="15">
        <f>+SUM(K54:K54)</f>
        <v>98220</v>
      </c>
      <c r="L55" s="15">
        <f>+SUM(L54:L54)</f>
        <v>46000</v>
      </c>
      <c r="M55" s="30">
        <f>+SUM(M54:M54)</f>
        <v>0</v>
      </c>
      <c r="N55" s="34"/>
      <c r="O55" s="39">
        <f>+SUM(O54:O54)</f>
        <v>1</v>
      </c>
      <c r="P55" s="39">
        <f>+SUM(P54:P54)</f>
        <v>0.4</v>
      </c>
      <c r="Q55" s="15"/>
      <c r="R55" s="15"/>
      <c r="S55" s="44"/>
      <c r="T55" s="39"/>
      <c r="U55" s="8"/>
      <c r="V55" s="7"/>
      <c r="W55" s="7"/>
      <c r="X55" s="7"/>
      <c r="Y55" s="7"/>
    </row>
    <row r="56" spans="1:45" x14ac:dyDescent="0.25">
      <c r="A56" s="9"/>
      <c r="B56" s="9"/>
      <c r="C56" s="26"/>
      <c r="D56" s="16"/>
      <c r="E56" s="9"/>
      <c r="F56" s="9"/>
      <c r="G56" s="16"/>
      <c r="H56" s="16" t="s">
        <v>770</v>
      </c>
      <c r="I56" s="21">
        <f>H55/G55*100</f>
        <v>39.96153846153846</v>
      </c>
      <c r="J56" s="16"/>
      <c r="K56" s="16"/>
      <c r="L56" s="16" t="s">
        <v>771</v>
      </c>
      <c r="M56" s="31"/>
      <c r="N56" s="35"/>
      <c r="O56" s="40" t="s">
        <v>771</v>
      </c>
      <c r="P56" s="40"/>
      <c r="Q56" s="16"/>
      <c r="R56" s="16" t="s">
        <v>771</v>
      </c>
      <c r="S56" s="45"/>
      <c r="T56" s="40"/>
      <c r="U56" s="10"/>
      <c r="V56" s="9"/>
      <c r="W56" s="9"/>
      <c r="X56" s="9"/>
      <c r="Y56" s="9"/>
    </row>
    <row r="57" spans="1:45" ht="15.75" thickBot="1" x14ac:dyDescent="0.3">
      <c r="A57" s="11"/>
      <c r="B57" s="11"/>
      <c r="C57" s="27"/>
      <c r="D57" s="17"/>
      <c r="E57" s="11"/>
      <c r="F57" s="11"/>
      <c r="G57" s="17"/>
      <c r="H57" s="17" t="s">
        <v>772</v>
      </c>
      <c r="I57" s="22" t="e">
        <f>STDEV(I54:I54)</f>
        <v>#DIV/0!</v>
      </c>
      <c r="J57" s="17"/>
      <c r="K57" s="17"/>
      <c r="L57" s="17" t="s">
        <v>773</v>
      </c>
      <c r="M57" s="47" t="e">
        <f>K55/M55</f>
        <v>#DIV/0!</v>
      </c>
      <c r="N57" s="36"/>
      <c r="O57" s="40" t="s">
        <v>786</v>
      </c>
      <c r="P57" s="40">
        <f>K55/O55</f>
        <v>98220</v>
      </c>
      <c r="Q57" s="17"/>
      <c r="R57" s="17" t="s">
        <v>775</v>
      </c>
      <c r="S57" s="46">
        <f>K55/O55/43560</f>
        <v>2.2548209366391183</v>
      </c>
      <c r="T57" s="41"/>
      <c r="U57" s="12"/>
      <c r="V57" s="11"/>
      <c r="W57" s="11"/>
      <c r="X57" s="11"/>
      <c r="Y57" s="11"/>
    </row>
    <row r="58" spans="1:45" x14ac:dyDescent="0.25">
      <c r="O58" s="49" t="s">
        <v>783</v>
      </c>
      <c r="P58" s="50">
        <v>46000</v>
      </c>
    </row>
    <row r="59" spans="1:45" ht="15.75" thickBot="1" x14ac:dyDescent="0.3">
      <c r="O59" s="51" t="s">
        <v>784</v>
      </c>
      <c r="P59" s="52">
        <v>48000</v>
      </c>
    </row>
    <row r="60" spans="1:45" x14ac:dyDescent="0.25">
      <c r="A60" s="48" t="s">
        <v>780</v>
      </c>
    </row>
    <row r="61" spans="1:45" x14ac:dyDescent="0.25">
      <c r="A61" s="1" t="s">
        <v>0</v>
      </c>
      <c r="B61" s="1" t="s">
        <v>1</v>
      </c>
      <c r="C61" s="23" t="s">
        <v>2</v>
      </c>
      <c r="D61" s="13" t="s">
        <v>3</v>
      </c>
      <c r="E61" s="1" t="s">
        <v>4</v>
      </c>
      <c r="F61" s="1" t="s">
        <v>5</v>
      </c>
      <c r="G61" s="13" t="s">
        <v>6</v>
      </c>
      <c r="H61" s="13" t="s">
        <v>7</v>
      </c>
      <c r="I61" s="18" t="s">
        <v>8</v>
      </c>
      <c r="J61" s="13" t="s">
        <v>9</v>
      </c>
      <c r="K61" s="13" t="s">
        <v>10</v>
      </c>
      <c r="L61" s="13" t="s">
        <v>11</v>
      </c>
      <c r="M61" s="28" t="s">
        <v>12</v>
      </c>
      <c r="N61" s="32" t="s">
        <v>13</v>
      </c>
      <c r="O61" s="37" t="s">
        <v>785</v>
      </c>
      <c r="P61" s="37" t="s">
        <v>15</v>
      </c>
      <c r="Q61" s="13" t="s">
        <v>16</v>
      </c>
      <c r="R61" s="13" t="s">
        <v>17</v>
      </c>
      <c r="S61" s="42" t="s">
        <v>18</v>
      </c>
      <c r="T61" s="37" t="s">
        <v>19</v>
      </c>
      <c r="U61" s="3" t="s">
        <v>20</v>
      </c>
      <c r="V61" s="1" t="s">
        <v>21</v>
      </c>
      <c r="W61" s="1" t="s">
        <v>22</v>
      </c>
      <c r="X61" s="1" t="s">
        <v>23</v>
      </c>
      <c r="Y61" s="1" t="s">
        <v>24</v>
      </c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</row>
    <row r="62" spans="1:45" ht="15.75" thickBot="1" x14ac:dyDescent="0.3">
      <c r="A62" t="s">
        <v>610</v>
      </c>
      <c r="B62" t="s">
        <v>611</v>
      </c>
      <c r="C62" s="24">
        <v>44550</v>
      </c>
      <c r="D62" s="14">
        <v>230000</v>
      </c>
      <c r="E62" t="s">
        <v>27</v>
      </c>
      <c r="F62" t="s">
        <v>28</v>
      </c>
      <c r="G62" s="14">
        <v>230000</v>
      </c>
      <c r="H62" s="14">
        <v>93600</v>
      </c>
      <c r="I62" s="19">
        <f t="shared" ref="I62" si="12">H62/G62*100</f>
        <v>40.695652173913047</v>
      </c>
      <c r="J62" s="14">
        <v>187188</v>
      </c>
      <c r="K62" s="14">
        <f>G62-137188</f>
        <v>92812</v>
      </c>
      <c r="L62" s="14">
        <v>50000</v>
      </c>
      <c r="M62" s="29">
        <v>0</v>
      </c>
      <c r="N62" s="33">
        <v>0</v>
      </c>
      <c r="O62" s="38">
        <v>1</v>
      </c>
      <c r="P62" s="38">
        <v>0.31</v>
      </c>
      <c r="Q62" s="14" t="e">
        <f t="shared" ref="Q62" si="13">K62/M62</f>
        <v>#DIV/0!</v>
      </c>
      <c r="R62" s="14">
        <f t="shared" ref="R62" si="14">K62/O62</f>
        <v>92812</v>
      </c>
      <c r="S62" s="43">
        <f t="shared" ref="S62" si="15">K62/O62/43560</f>
        <v>2.1306703397612488</v>
      </c>
      <c r="T62" s="38">
        <v>0</v>
      </c>
      <c r="U62" s="5" t="s">
        <v>356</v>
      </c>
      <c r="V62" t="s">
        <v>612</v>
      </c>
      <c r="X62" t="s">
        <v>358</v>
      </c>
      <c r="Y62" s="6" t="s">
        <v>32</v>
      </c>
    </row>
    <row r="63" spans="1:45" ht="15.75" thickTop="1" x14ac:dyDescent="0.25">
      <c r="A63" s="7"/>
      <c r="B63" s="7"/>
      <c r="C63" s="25" t="s">
        <v>769</v>
      </c>
      <c r="D63" s="15">
        <f>+SUM(D62:D62)</f>
        <v>230000</v>
      </c>
      <c r="E63" s="7"/>
      <c r="F63" s="7"/>
      <c r="G63" s="15">
        <f>+SUM(G62:G62)</f>
        <v>230000</v>
      </c>
      <c r="H63" s="15">
        <f>+SUM(H62:H62)</f>
        <v>93600</v>
      </c>
      <c r="I63" s="20"/>
      <c r="J63" s="15">
        <f>+SUM(J62:J62)</f>
        <v>187188</v>
      </c>
      <c r="K63" s="15">
        <f>+SUM(K62:K62)</f>
        <v>92812</v>
      </c>
      <c r="L63" s="15">
        <f>+SUM(L62:L62)</f>
        <v>50000</v>
      </c>
      <c r="M63" s="30">
        <f>+SUM(M62:M62)</f>
        <v>0</v>
      </c>
      <c r="N63" s="34"/>
      <c r="O63" s="39">
        <f>+SUM(O62:O62)</f>
        <v>1</v>
      </c>
      <c r="P63" s="39">
        <f>+SUM(P62:P62)</f>
        <v>0.31</v>
      </c>
      <c r="Q63" s="15"/>
      <c r="R63" s="15"/>
      <c r="S63" s="44"/>
      <c r="T63" s="39"/>
      <c r="U63" s="8"/>
      <c r="V63" s="7"/>
      <c r="W63" s="7"/>
      <c r="X63" s="7"/>
      <c r="Y63" s="7"/>
    </row>
    <row r="64" spans="1:45" x14ac:dyDescent="0.25">
      <c r="A64" s="9"/>
      <c r="B64" s="9"/>
      <c r="C64" s="26"/>
      <c r="D64" s="16"/>
      <c r="E64" s="9"/>
      <c r="F64" s="9"/>
      <c r="G64" s="16"/>
      <c r="H64" s="16" t="s">
        <v>770</v>
      </c>
      <c r="I64" s="21">
        <f>H63/G63*100</f>
        <v>40.695652173913047</v>
      </c>
      <c r="J64" s="16"/>
      <c r="K64" s="16"/>
      <c r="L64" s="16" t="s">
        <v>771</v>
      </c>
      <c r="M64" s="31"/>
      <c r="N64" s="35"/>
      <c r="O64" s="40" t="s">
        <v>771</v>
      </c>
      <c r="P64" s="40"/>
      <c r="Q64" s="16"/>
      <c r="R64" s="16" t="s">
        <v>771</v>
      </c>
      <c r="S64" s="45"/>
      <c r="T64" s="40"/>
      <c r="U64" s="10"/>
      <c r="V64" s="9"/>
      <c r="W64" s="9"/>
      <c r="X64" s="9"/>
      <c r="Y64" s="9"/>
    </row>
    <row r="65" spans="1:45" ht="15.75" thickBot="1" x14ac:dyDescent="0.3">
      <c r="A65" s="11"/>
      <c r="B65" s="11"/>
      <c r="C65" s="27"/>
      <c r="D65" s="17"/>
      <c r="E65" s="11"/>
      <c r="F65" s="11"/>
      <c r="G65" s="17"/>
      <c r="H65" s="17" t="s">
        <v>772</v>
      </c>
      <c r="I65" s="22" t="e">
        <f>STDEV(I62:I62)</f>
        <v>#DIV/0!</v>
      </c>
      <c r="J65" s="17"/>
      <c r="K65" s="17"/>
      <c r="L65" s="17" t="s">
        <v>773</v>
      </c>
      <c r="M65" s="47" t="e">
        <f>K63/M63</f>
        <v>#DIV/0!</v>
      </c>
      <c r="N65" s="36"/>
      <c r="O65" s="40" t="s">
        <v>786</v>
      </c>
      <c r="P65" s="40">
        <f>K63/O63</f>
        <v>92812</v>
      </c>
      <c r="Q65" s="17"/>
      <c r="R65" s="17" t="s">
        <v>775</v>
      </c>
      <c r="S65" s="46">
        <f>K63/O63/43560</f>
        <v>2.1306703397612488</v>
      </c>
      <c r="T65" s="41"/>
      <c r="U65" s="12"/>
      <c r="V65" s="11"/>
      <c r="W65" s="11"/>
      <c r="X65" s="11"/>
      <c r="Y65" s="11"/>
    </row>
    <row r="66" spans="1:45" x14ac:dyDescent="0.25">
      <c r="O66" s="49" t="s">
        <v>783</v>
      </c>
      <c r="P66" s="50">
        <v>50000</v>
      </c>
    </row>
    <row r="67" spans="1:45" ht="15.75" thickBot="1" x14ac:dyDescent="0.3">
      <c r="O67" s="51" t="s">
        <v>784</v>
      </c>
      <c r="P67" s="52">
        <v>52000</v>
      </c>
    </row>
    <row r="68" spans="1:45" x14ac:dyDescent="0.25">
      <c r="A68" s="48" t="s">
        <v>781</v>
      </c>
    </row>
    <row r="69" spans="1:45" x14ac:dyDescent="0.25">
      <c r="A69" s="1" t="s">
        <v>0</v>
      </c>
      <c r="B69" s="1" t="s">
        <v>1</v>
      </c>
      <c r="C69" s="23" t="s">
        <v>2</v>
      </c>
      <c r="D69" s="13" t="s">
        <v>3</v>
      </c>
      <c r="E69" s="1" t="s">
        <v>4</v>
      </c>
      <c r="F69" s="1" t="s">
        <v>5</v>
      </c>
      <c r="G69" s="13" t="s">
        <v>6</v>
      </c>
      <c r="H69" s="13" t="s">
        <v>7</v>
      </c>
      <c r="I69" s="18" t="s">
        <v>8</v>
      </c>
      <c r="J69" s="13" t="s">
        <v>9</v>
      </c>
      <c r="K69" s="13" t="s">
        <v>10</v>
      </c>
      <c r="L69" s="13" t="s">
        <v>11</v>
      </c>
      <c r="M69" s="28" t="s">
        <v>12</v>
      </c>
      <c r="N69" s="32" t="s">
        <v>13</v>
      </c>
      <c r="O69" s="37" t="s">
        <v>785</v>
      </c>
      <c r="P69" s="37" t="s">
        <v>15</v>
      </c>
      <c r="Q69" s="13" t="s">
        <v>16</v>
      </c>
      <c r="R69" s="13" t="s">
        <v>17</v>
      </c>
      <c r="S69" s="42" t="s">
        <v>18</v>
      </c>
      <c r="T69" s="37" t="s">
        <v>19</v>
      </c>
      <c r="U69" s="3" t="s">
        <v>20</v>
      </c>
      <c r="V69" s="1" t="s">
        <v>21</v>
      </c>
      <c r="W69" s="1" t="s">
        <v>22</v>
      </c>
      <c r="X69" s="1" t="s">
        <v>23</v>
      </c>
      <c r="Y69" s="1" t="s">
        <v>24</v>
      </c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</row>
    <row r="70" spans="1:45" x14ac:dyDescent="0.25">
      <c r="A70" t="s">
        <v>401</v>
      </c>
      <c r="B70" t="s">
        <v>402</v>
      </c>
      <c r="C70" s="24">
        <v>44470</v>
      </c>
      <c r="D70" s="14">
        <v>155000</v>
      </c>
      <c r="E70" t="s">
        <v>27</v>
      </c>
      <c r="F70" t="s">
        <v>28</v>
      </c>
      <c r="G70" s="14">
        <v>155000</v>
      </c>
      <c r="H70" s="14">
        <v>82100</v>
      </c>
      <c r="I70" s="19">
        <f>H70/G70*100</f>
        <v>52.967741935483872</v>
      </c>
      <c r="J70" s="14">
        <v>164225</v>
      </c>
      <c r="K70" s="14">
        <f>G70-112225</f>
        <v>42775</v>
      </c>
      <c r="L70" s="14">
        <v>52000</v>
      </c>
      <c r="M70" s="29">
        <v>0</v>
      </c>
      <c r="N70" s="33">
        <v>0</v>
      </c>
      <c r="O70" s="38">
        <v>1</v>
      </c>
      <c r="P70" s="38">
        <v>0.41</v>
      </c>
      <c r="Q70" s="14" t="e">
        <f>K70/M70</f>
        <v>#DIV/0!</v>
      </c>
      <c r="R70" s="14">
        <f>K70/O70</f>
        <v>42775</v>
      </c>
      <c r="S70" s="43">
        <f>K70/O70/43560</f>
        <v>0.98197887970615239</v>
      </c>
      <c r="T70" s="38">
        <v>0</v>
      </c>
      <c r="U70" s="5" t="s">
        <v>356</v>
      </c>
      <c r="V70" t="s">
        <v>403</v>
      </c>
      <c r="X70" t="s">
        <v>358</v>
      </c>
      <c r="Y70" s="6" t="s">
        <v>32</v>
      </c>
    </row>
    <row r="71" spans="1:45" x14ac:dyDescent="0.25">
      <c r="A71" t="s">
        <v>392</v>
      </c>
      <c r="B71" t="s">
        <v>393</v>
      </c>
      <c r="C71" s="24">
        <v>44827</v>
      </c>
      <c r="D71" s="14">
        <v>219000</v>
      </c>
      <c r="E71" t="s">
        <v>27</v>
      </c>
      <c r="F71" t="s">
        <v>28</v>
      </c>
      <c r="G71" s="14">
        <v>219000</v>
      </c>
      <c r="H71" s="14">
        <v>104900</v>
      </c>
      <c r="I71" s="19">
        <f>H71/G71*100</f>
        <v>47.899543378995432</v>
      </c>
      <c r="J71" s="14">
        <v>209860</v>
      </c>
      <c r="K71" s="14">
        <f>G71-157860</f>
        <v>61140</v>
      </c>
      <c r="L71" s="14">
        <v>52000</v>
      </c>
      <c r="M71" s="29">
        <v>0</v>
      </c>
      <c r="N71" s="33">
        <v>0</v>
      </c>
      <c r="O71" s="38">
        <v>1</v>
      </c>
      <c r="P71" s="38">
        <v>0.41</v>
      </c>
      <c r="Q71" s="14" t="e">
        <f>K71/M71</f>
        <v>#DIV/0!</v>
      </c>
      <c r="R71" s="14">
        <f>K71/O71</f>
        <v>61140</v>
      </c>
      <c r="S71" s="43">
        <f>K71/O71/43560</f>
        <v>1.4035812672176309</v>
      </c>
      <c r="T71" s="38">
        <v>0</v>
      </c>
      <c r="U71" s="5" t="s">
        <v>356</v>
      </c>
      <c r="V71" t="s">
        <v>394</v>
      </c>
      <c r="X71" t="s">
        <v>358</v>
      </c>
      <c r="Y71" s="6" t="s">
        <v>32</v>
      </c>
    </row>
    <row r="72" spans="1:45" x14ac:dyDescent="0.25">
      <c r="A72" t="s">
        <v>395</v>
      </c>
      <c r="B72" t="s">
        <v>396</v>
      </c>
      <c r="C72" s="24">
        <v>44322</v>
      </c>
      <c r="D72" s="14">
        <v>175000</v>
      </c>
      <c r="E72" t="s">
        <v>27</v>
      </c>
      <c r="F72" t="s">
        <v>28</v>
      </c>
      <c r="G72" s="14">
        <v>175000</v>
      </c>
      <c r="H72" s="14">
        <v>75700</v>
      </c>
      <c r="I72" s="19">
        <f>H72/G72*100</f>
        <v>43.257142857142853</v>
      </c>
      <c r="J72" s="14">
        <v>151311</v>
      </c>
      <c r="K72" s="14">
        <f>G72-99311</f>
        <v>75689</v>
      </c>
      <c r="L72" s="14">
        <v>52000</v>
      </c>
      <c r="M72" s="29">
        <v>0</v>
      </c>
      <c r="N72" s="33">
        <v>0</v>
      </c>
      <c r="O72" s="38">
        <v>1</v>
      </c>
      <c r="P72" s="38">
        <v>0.41</v>
      </c>
      <c r="Q72" s="14" t="e">
        <f>K72/M72</f>
        <v>#DIV/0!</v>
      </c>
      <c r="R72" s="14">
        <f>K72/O72</f>
        <v>75689</v>
      </c>
      <c r="S72" s="43">
        <f>K72/O72/43560</f>
        <v>1.7375803489439854</v>
      </c>
      <c r="T72" s="38">
        <v>0</v>
      </c>
      <c r="U72" s="5" t="s">
        <v>356</v>
      </c>
      <c r="V72" t="s">
        <v>397</v>
      </c>
      <c r="X72" t="s">
        <v>358</v>
      </c>
      <c r="Y72" s="6" t="s">
        <v>32</v>
      </c>
    </row>
    <row r="73" spans="1:45" x14ac:dyDescent="0.25">
      <c r="A73" t="s">
        <v>401</v>
      </c>
      <c r="B73" t="s">
        <v>402</v>
      </c>
      <c r="C73" s="24">
        <v>45155</v>
      </c>
      <c r="D73" s="14">
        <v>210000</v>
      </c>
      <c r="E73" t="s">
        <v>27</v>
      </c>
      <c r="F73" t="s">
        <v>28</v>
      </c>
      <c r="G73" s="14">
        <v>210000</v>
      </c>
      <c r="H73" s="14">
        <v>82100</v>
      </c>
      <c r="I73" s="19">
        <f>H73/G73*100</f>
        <v>39.095238095238095</v>
      </c>
      <c r="J73" s="14">
        <v>164225</v>
      </c>
      <c r="K73" s="14">
        <f>G73-112225</f>
        <v>97775</v>
      </c>
      <c r="L73" s="14">
        <v>52000</v>
      </c>
      <c r="M73" s="29">
        <v>0</v>
      </c>
      <c r="N73" s="33">
        <v>0</v>
      </c>
      <c r="O73" s="38">
        <v>1</v>
      </c>
      <c r="P73" s="38">
        <v>0.41</v>
      </c>
      <c r="Q73" s="14" t="e">
        <f>K73/M73</f>
        <v>#DIV/0!</v>
      </c>
      <c r="R73" s="14">
        <f>K73/O73</f>
        <v>97775</v>
      </c>
      <c r="S73" s="43">
        <f>K73/O73/43560</f>
        <v>2.2446051423324151</v>
      </c>
      <c r="T73" s="38">
        <v>0</v>
      </c>
      <c r="U73" s="5" t="s">
        <v>356</v>
      </c>
      <c r="V73" t="s">
        <v>404</v>
      </c>
      <c r="X73" t="s">
        <v>358</v>
      </c>
      <c r="Y73" s="6" t="s">
        <v>32</v>
      </c>
    </row>
    <row r="74" spans="1:45" ht="15.75" thickBot="1" x14ac:dyDescent="0.3">
      <c r="A74" t="s">
        <v>398</v>
      </c>
      <c r="B74" t="s">
        <v>399</v>
      </c>
      <c r="C74" s="24">
        <v>45175</v>
      </c>
      <c r="D74" s="14">
        <v>236500</v>
      </c>
      <c r="E74" t="s">
        <v>27</v>
      </c>
      <c r="F74" t="s">
        <v>28</v>
      </c>
      <c r="G74" s="14">
        <v>236500</v>
      </c>
      <c r="H74" s="14">
        <v>87300</v>
      </c>
      <c r="I74" s="19">
        <f>H74/G74*100</f>
        <v>36.913319238900634</v>
      </c>
      <c r="J74" s="14">
        <v>174678</v>
      </c>
      <c r="K74" s="14">
        <f>G74-122678</f>
        <v>113822</v>
      </c>
      <c r="L74" s="14">
        <v>52000</v>
      </c>
      <c r="M74" s="29">
        <v>0</v>
      </c>
      <c r="N74" s="33">
        <v>0</v>
      </c>
      <c r="O74" s="38">
        <v>1</v>
      </c>
      <c r="P74" s="38">
        <v>0.39</v>
      </c>
      <c r="Q74" s="14" t="e">
        <f>K74/M74</f>
        <v>#DIV/0!</v>
      </c>
      <c r="R74" s="14">
        <f>K74/O74</f>
        <v>113822</v>
      </c>
      <c r="S74" s="43">
        <f>K74/O74/43560</f>
        <v>2.612993572084481</v>
      </c>
      <c r="T74" s="38">
        <v>0</v>
      </c>
      <c r="U74" s="5" t="s">
        <v>356</v>
      </c>
      <c r="V74" t="s">
        <v>400</v>
      </c>
      <c r="X74" t="s">
        <v>358</v>
      </c>
      <c r="Y74" s="6" t="s">
        <v>32</v>
      </c>
    </row>
    <row r="75" spans="1:45" ht="15.75" thickTop="1" x14ac:dyDescent="0.25">
      <c r="A75" s="7"/>
      <c r="B75" s="7"/>
      <c r="C75" s="25" t="s">
        <v>769</v>
      </c>
      <c r="D75" s="15">
        <f>+SUM(D70:D74)</f>
        <v>995500</v>
      </c>
      <c r="E75" s="7"/>
      <c r="F75" s="7"/>
      <c r="G75" s="15">
        <f>+SUM(G70:G74)</f>
        <v>995500</v>
      </c>
      <c r="H75" s="15">
        <f>+SUM(H70:H74)</f>
        <v>432100</v>
      </c>
      <c r="I75" s="20"/>
      <c r="J75" s="15">
        <f>+SUM(J70:J74)</f>
        <v>864299</v>
      </c>
      <c r="K75" s="15">
        <f>+SUM(K70:K74)</f>
        <v>391201</v>
      </c>
      <c r="L75" s="15">
        <f>+SUM(L70:L74)</f>
        <v>260000</v>
      </c>
      <c r="M75" s="30">
        <f>+SUM(M70:M74)</f>
        <v>0</v>
      </c>
      <c r="N75" s="34"/>
      <c r="O75" s="39">
        <f>+SUM(O70:O74)</f>
        <v>5</v>
      </c>
      <c r="P75" s="39">
        <f>+SUM(P70:P74)</f>
        <v>2.0299999999999998</v>
      </c>
      <c r="Q75" s="15"/>
      <c r="R75" s="15"/>
      <c r="S75" s="44"/>
      <c r="T75" s="39"/>
      <c r="U75" s="8"/>
      <c r="V75" s="7"/>
      <c r="W75" s="7"/>
      <c r="X75" s="7"/>
      <c r="Y75" s="7"/>
    </row>
    <row r="76" spans="1:45" x14ac:dyDescent="0.25">
      <c r="A76" s="9"/>
      <c r="B76" s="9"/>
      <c r="C76" s="26"/>
      <c r="D76" s="16"/>
      <c r="E76" s="9"/>
      <c r="F76" s="9"/>
      <c r="G76" s="16"/>
      <c r="H76" s="16" t="s">
        <v>770</v>
      </c>
      <c r="I76" s="21">
        <f>H75/G75*100</f>
        <v>43.405323957810147</v>
      </c>
      <c r="J76" s="16"/>
      <c r="K76" s="16"/>
      <c r="L76" s="16" t="s">
        <v>771</v>
      </c>
      <c r="M76" s="31"/>
      <c r="N76" s="35"/>
      <c r="O76" s="40" t="s">
        <v>771</v>
      </c>
      <c r="P76" s="40"/>
      <c r="Q76" s="16"/>
      <c r="R76" s="16" t="s">
        <v>771</v>
      </c>
      <c r="S76" s="45"/>
      <c r="T76" s="40"/>
      <c r="U76" s="10"/>
      <c r="V76" s="9"/>
      <c r="W76" s="9"/>
      <c r="X76" s="9"/>
      <c r="Y76" s="9"/>
    </row>
    <row r="77" spans="1:45" ht="15.75" thickBot="1" x14ac:dyDescent="0.3">
      <c r="A77" s="11"/>
      <c r="B77" s="11"/>
      <c r="C77" s="27"/>
      <c r="D77" s="17"/>
      <c r="E77" s="11"/>
      <c r="F77" s="11"/>
      <c r="G77" s="17"/>
      <c r="H77" s="17" t="s">
        <v>772</v>
      </c>
      <c r="I77" s="22">
        <f>STDEV(I70:I74)</f>
        <v>6.5278799629740076</v>
      </c>
      <c r="J77" s="17"/>
      <c r="K77" s="17"/>
      <c r="L77" s="17" t="s">
        <v>773</v>
      </c>
      <c r="M77" s="47" t="e">
        <f>K75/M75</f>
        <v>#DIV/0!</v>
      </c>
      <c r="N77" s="36"/>
      <c r="O77" s="40" t="s">
        <v>787</v>
      </c>
      <c r="P77" s="40">
        <f>K75/O75</f>
        <v>78240.2</v>
      </c>
      <c r="Q77" s="17"/>
      <c r="R77" s="17" t="s">
        <v>775</v>
      </c>
      <c r="S77" s="46">
        <f>K75/O75/43560</f>
        <v>1.796147842056933</v>
      </c>
      <c r="T77" s="41"/>
      <c r="U77" s="12"/>
      <c r="V77" s="11"/>
      <c r="W77" s="11"/>
      <c r="X77" s="11"/>
      <c r="Y77" s="11"/>
    </row>
    <row r="78" spans="1:45" x14ac:dyDescent="0.25">
      <c r="O78" s="49" t="s">
        <v>783</v>
      </c>
      <c r="P78" s="50">
        <v>52000</v>
      </c>
    </row>
    <row r="79" spans="1:45" ht="15.75" thickBot="1" x14ac:dyDescent="0.3">
      <c r="O79" s="51" t="s">
        <v>784</v>
      </c>
      <c r="P79" s="52">
        <v>55000</v>
      </c>
    </row>
    <row r="80" spans="1:45" x14ac:dyDescent="0.25">
      <c r="A80" s="48" t="s">
        <v>782</v>
      </c>
    </row>
    <row r="81" spans="1:45" x14ac:dyDescent="0.25">
      <c r="A81" s="1" t="s">
        <v>0</v>
      </c>
      <c r="B81" s="1" t="s">
        <v>1</v>
      </c>
      <c r="C81" s="23" t="s">
        <v>2</v>
      </c>
      <c r="D81" s="13" t="s">
        <v>3</v>
      </c>
      <c r="E81" s="1" t="s">
        <v>4</v>
      </c>
      <c r="F81" s="1" t="s">
        <v>5</v>
      </c>
      <c r="G81" s="13" t="s">
        <v>6</v>
      </c>
      <c r="H81" s="13" t="s">
        <v>7</v>
      </c>
      <c r="I81" s="18" t="s">
        <v>8</v>
      </c>
      <c r="J81" s="13" t="s">
        <v>9</v>
      </c>
      <c r="K81" s="13" t="s">
        <v>10</v>
      </c>
      <c r="L81" s="13" t="s">
        <v>11</v>
      </c>
      <c r="M81" s="28" t="s">
        <v>12</v>
      </c>
      <c r="N81" s="32" t="s">
        <v>13</v>
      </c>
      <c r="O81" s="37" t="s">
        <v>785</v>
      </c>
      <c r="P81" s="37" t="s">
        <v>15</v>
      </c>
      <c r="Q81" s="13" t="s">
        <v>16</v>
      </c>
      <c r="R81" s="13" t="s">
        <v>17</v>
      </c>
      <c r="S81" s="42" t="s">
        <v>18</v>
      </c>
      <c r="T81" s="37" t="s">
        <v>19</v>
      </c>
      <c r="U81" s="3" t="s">
        <v>20</v>
      </c>
      <c r="V81" s="1" t="s">
        <v>21</v>
      </c>
      <c r="W81" s="1" t="s">
        <v>22</v>
      </c>
      <c r="X81" s="1" t="s">
        <v>23</v>
      </c>
      <c r="Y81" s="1" t="s">
        <v>24</v>
      </c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</row>
    <row r="82" spans="1:45" x14ac:dyDescent="0.25">
      <c r="A82" t="s">
        <v>575</v>
      </c>
      <c r="B82" t="s">
        <v>576</v>
      </c>
      <c r="C82" s="24">
        <v>44662</v>
      </c>
      <c r="D82" s="14">
        <v>75000</v>
      </c>
      <c r="E82" t="s">
        <v>27</v>
      </c>
      <c r="F82" t="s">
        <v>28</v>
      </c>
      <c r="G82" s="14">
        <v>75000</v>
      </c>
      <c r="H82" s="14">
        <v>49100</v>
      </c>
      <c r="I82" s="19">
        <f>H82/G82*100</f>
        <v>65.466666666666669</v>
      </c>
      <c r="J82" s="14">
        <v>98162</v>
      </c>
      <c r="K82" s="14">
        <f>G82-68162</f>
        <v>6838</v>
      </c>
      <c r="L82" s="14">
        <v>30000</v>
      </c>
      <c r="M82" s="29">
        <v>0</v>
      </c>
      <c r="N82" s="33">
        <v>0</v>
      </c>
      <c r="O82" s="38">
        <v>1</v>
      </c>
      <c r="P82" s="38">
        <v>0.23</v>
      </c>
      <c r="Q82" s="14" t="e">
        <f>K82/M82</f>
        <v>#DIV/0!</v>
      </c>
      <c r="R82" s="14">
        <f>K82/O82</f>
        <v>6838</v>
      </c>
      <c r="S82" s="43">
        <f>K82/O82/43560</f>
        <v>0.15697887970615243</v>
      </c>
      <c r="T82" s="38">
        <v>0</v>
      </c>
      <c r="U82" s="5" t="s">
        <v>29</v>
      </c>
      <c r="V82" t="s">
        <v>577</v>
      </c>
      <c r="X82" t="s">
        <v>358</v>
      </c>
      <c r="Y82" s="6" t="s">
        <v>32</v>
      </c>
    </row>
    <row r="83" spans="1:45" x14ac:dyDescent="0.25">
      <c r="A83" t="s">
        <v>359</v>
      </c>
      <c r="B83" t="s">
        <v>360</v>
      </c>
      <c r="C83" s="24">
        <v>45051</v>
      </c>
      <c r="D83" s="14">
        <v>197000</v>
      </c>
      <c r="E83" t="s">
        <v>27</v>
      </c>
      <c r="F83" t="s">
        <v>28</v>
      </c>
      <c r="G83" s="14">
        <v>197000</v>
      </c>
      <c r="H83" s="14">
        <v>101600</v>
      </c>
      <c r="I83" s="19">
        <f>H83/G83*100</f>
        <v>51.573604060913702</v>
      </c>
      <c r="J83" s="14">
        <v>203220</v>
      </c>
      <c r="K83" s="14">
        <f>G83-173220</f>
        <v>23780</v>
      </c>
      <c r="L83" s="14">
        <v>30000</v>
      </c>
      <c r="M83" s="29">
        <v>0</v>
      </c>
      <c r="N83" s="33">
        <v>0</v>
      </c>
      <c r="O83" s="38">
        <v>1</v>
      </c>
      <c r="P83" s="38">
        <v>0.17</v>
      </c>
      <c r="Q83" s="14" t="e">
        <f>K83/M83</f>
        <v>#DIV/0!</v>
      </c>
      <c r="R83" s="14">
        <f>K83/O83</f>
        <v>23780</v>
      </c>
      <c r="S83" s="43">
        <f>K83/O83/43560</f>
        <v>0.54591368227731862</v>
      </c>
      <c r="T83" s="38">
        <v>0</v>
      </c>
      <c r="U83" s="5" t="s">
        <v>356</v>
      </c>
      <c r="V83" t="s">
        <v>361</v>
      </c>
      <c r="X83" t="s">
        <v>358</v>
      </c>
      <c r="Y83" s="6" t="s">
        <v>32</v>
      </c>
    </row>
    <row r="84" spans="1:45" x14ac:dyDescent="0.25">
      <c r="A84" t="s">
        <v>572</v>
      </c>
      <c r="B84" t="s">
        <v>573</v>
      </c>
      <c r="C84" s="24">
        <v>45072</v>
      </c>
      <c r="D84" s="14">
        <v>94900</v>
      </c>
      <c r="E84" t="s">
        <v>27</v>
      </c>
      <c r="F84" t="s">
        <v>28</v>
      </c>
      <c r="G84" s="14">
        <v>94900</v>
      </c>
      <c r="H84" s="14">
        <v>36600</v>
      </c>
      <c r="I84" s="19">
        <f>H84/G84*100</f>
        <v>38.566912539515279</v>
      </c>
      <c r="J84" s="14">
        <v>73161</v>
      </c>
      <c r="K84" s="14">
        <f>G84-43161</f>
        <v>51739</v>
      </c>
      <c r="L84" s="14">
        <v>30000</v>
      </c>
      <c r="M84" s="29">
        <v>0</v>
      </c>
      <c r="N84" s="33">
        <v>0</v>
      </c>
      <c r="O84" s="38">
        <v>1</v>
      </c>
      <c r="P84" s="38">
        <v>0.23</v>
      </c>
      <c r="Q84" s="14" t="e">
        <f>K84/M84</f>
        <v>#DIV/0!</v>
      </c>
      <c r="R84" s="14">
        <f>K84/O84</f>
        <v>51739</v>
      </c>
      <c r="S84" s="43">
        <f>K84/O84/43560</f>
        <v>1.1877640036730945</v>
      </c>
      <c r="T84" s="38">
        <v>0</v>
      </c>
      <c r="U84" s="5" t="s">
        <v>29</v>
      </c>
      <c r="V84" t="s">
        <v>574</v>
      </c>
      <c r="X84" t="s">
        <v>358</v>
      </c>
      <c r="Y84" s="6" t="s">
        <v>32</v>
      </c>
    </row>
    <row r="85" spans="1:45" x14ac:dyDescent="0.25">
      <c r="A85" t="s">
        <v>354</v>
      </c>
      <c r="B85" t="s">
        <v>355</v>
      </c>
      <c r="C85" s="24">
        <v>44804</v>
      </c>
      <c r="D85" s="14">
        <v>210000</v>
      </c>
      <c r="E85" t="s">
        <v>27</v>
      </c>
      <c r="F85" t="s">
        <v>28</v>
      </c>
      <c r="G85" s="14">
        <v>210000</v>
      </c>
      <c r="H85" s="14">
        <v>93900</v>
      </c>
      <c r="I85" s="19">
        <f>H85/G85*100</f>
        <v>44.714285714285715</v>
      </c>
      <c r="J85" s="14">
        <v>187702</v>
      </c>
      <c r="K85" s="14">
        <f>G85-157702</f>
        <v>52298</v>
      </c>
      <c r="L85" s="14">
        <v>30000</v>
      </c>
      <c r="M85" s="29">
        <v>0</v>
      </c>
      <c r="N85" s="33">
        <v>0</v>
      </c>
      <c r="O85" s="38">
        <v>1</v>
      </c>
      <c r="P85" s="38">
        <v>0.21</v>
      </c>
      <c r="Q85" s="14" t="e">
        <f>K85/M85</f>
        <v>#DIV/0!</v>
      </c>
      <c r="R85" s="14">
        <f>K85/O85</f>
        <v>52298</v>
      </c>
      <c r="S85" s="43">
        <f>K85/O85/43560</f>
        <v>1.2005968778696052</v>
      </c>
      <c r="T85" s="38">
        <v>0</v>
      </c>
      <c r="U85" s="5" t="s">
        <v>356</v>
      </c>
      <c r="V85" t="s">
        <v>357</v>
      </c>
      <c r="X85" t="s">
        <v>358</v>
      </c>
      <c r="Y85" s="6" t="s">
        <v>32</v>
      </c>
    </row>
    <row r="86" spans="1:45" ht="15.75" thickBot="1" x14ac:dyDescent="0.3">
      <c r="A86" t="s">
        <v>575</v>
      </c>
      <c r="B86" t="s">
        <v>576</v>
      </c>
      <c r="C86" s="24">
        <v>44662</v>
      </c>
      <c r="D86" s="14">
        <v>133000</v>
      </c>
      <c r="E86" t="s">
        <v>27</v>
      </c>
      <c r="F86" t="s">
        <v>28</v>
      </c>
      <c r="G86" s="14">
        <v>133000</v>
      </c>
      <c r="H86" s="14">
        <v>49100</v>
      </c>
      <c r="I86" s="19">
        <f>H86/G86*100</f>
        <v>36.917293233082702</v>
      </c>
      <c r="J86" s="14">
        <v>98162</v>
      </c>
      <c r="K86" s="14">
        <f>G86-68162</f>
        <v>64838</v>
      </c>
      <c r="L86" s="14">
        <v>30000</v>
      </c>
      <c r="M86" s="29">
        <v>0</v>
      </c>
      <c r="N86" s="33">
        <v>0</v>
      </c>
      <c r="O86" s="38">
        <v>1</v>
      </c>
      <c r="P86" s="38">
        <v>0.23</v>
      </c>
      <c r="Q86" s="14" t="e">
        <f>K86/M86</f>
        <v>#DIV/0!</v>
      </c>
      <c r="R86" s="14">
        <f>K86/O86</f>
        <v>64838</v>
      </c>
      <c r="S86" s="43">
        <f>K86/O86/43560</f>
        <v>1.4884756657483931</v>
      </c>
      <c r="T86" s="38">
        <v>0</v>
      </c>
      <c r="U86" s="5" t="s">
        <v>29</v>
      </c>
      <c r="V86" t="s">
        <v>578</v>
      </c>
      <c r="X86" t="s">
        <v>358</v>
      </c>
      <c r="Y86" s="6" t="s">
        <v>32</v>
      </c>
    </row>
    <row r="87" spans="1:45" ht="15.75" thickTop="1" x14ac:dyDescent="0.25">
      <c r="A87" s="7"/>
      <c r="B87" s="7"/>
      <c r="C87" s="25" t="s">
        <v>769</v>
      </c>
      <c r="D87" s="15">
        <f>+SUM(D82:D86)</f>
        <v>709900</v>
      </c>
      <c r="E87" s="7"/>
      <c r="F87" s="7"/>
      <c r="G87" s="15">
        <f>+SUM(G82:G86)</f>
        <v>709900</v>
      </c>
      <c r="H87" s="15">
        <f>+SUM(H82:H86)</f>
        <v>330300</v>
      </c>
      <c r="I87" s="20"/>
      <c r="J87" s="15">
        <f>+SUM(J82:J86)</f>
        <v>660407</v>
      </c>
      <c r="K87" s="15">
        <f>+SUM(K82:K86)</f>
        <v>199493</v>
      </c>
      <c r="L87" s="15">
        <f>+SUM(L82:L86)</f>
        <v>150000</v>
      </c>
      <c r="M87" s="30">
        <f>+SUM(M82:M86)</f>
        <v>0</v>
      </c>
      <c r="N87" s="34"/>
      <c r="O87" s="39">
        <f>+SUM(O82:O86)</f>
        <v>5</v>
      </c>
      <c r="P87" s="39">
        <f>+SUM(P82:P86)</f>
        <v>1.07</v>
      </c>
      <c r="Q87" s="15"/>
      <c r="R87" s="15"/>
      <c r="S87" s="44"/>
      <c r="T87" s="39"/>
      <c r="U87" s="8"/>
      <c r="V87" s="7"/>
      <c r="W87" s="7"/>
      <c r="X87" s="7"/>
      <c r="Y87" s="7"/>
    </row>
    <row r="88" spans="1:45" x14ac:dyDescent="0.25">
      <c r="A88" s="9"/>
      <c r="B88" s="9"/>
      <c r="C88" s="26"/>
      <c r="D88" s="16"/>
      <c r="E88" s="9"/>
      <c r="F88" s="9"/>
      <c r="G88" s="16"/>
      <c r="H88" s="16" t="s">
        <v>770</v>
      </c>
      <c r="I88" s="21">
        <f>H87/G87*100</f>
        <v>46.527679954923229</v>
      </c>
      <c r="J88" s="16"/>
      <c r="K88" s="16"/>
      <c r="L88" s="16" t="s">
        <v>771</v>
      </c>
      <c r="M88" s="31"/>
      <c r="N88" s="35"/>
      <c r="O88" s="40" t="s">
        <v>771</v>
      </c>
      <c r="P88" s="40"/>
      <c r="Q88" s="16"/>
      <c r="R88" s="16" t="s">
        <v>771</v>
      </c>
      <c r="S88" s="45"/>
      <c r="T88" s="40"/>
      <c r="U88" s="10"/>
      <c r="V88" s="9"/>
      <c r="W88" s="9"/>
      <c r="X88" s="9"/>
      <c r="Y88" s="9"/>
    </row>
    <row r="89" spans="1:45" ht="15.75" thickBot="1" x14ac:dyDescent="0.3">
      <c r="A89" s="11"/>
      <c r="B89" s="11"/>
      <c r="C89" s="27"/>
      <c r="D89" s="17"/>
      <c r="E89" s="11"/>
      <c r="F89" s="11"/>
      <c r="G89" s="17"/>
      <c r="H89" s="17" t="s">
        <v>772</v>
      </c>
      <c r="I89" s="22">
        <f>STDEV(I82:I86)</f>
        <v>11.60749381103585</v>
      </c>
      <c r="J89" s="17"/>
      <c r="K89" s="17"/>
      <c r="L89" s="17" t="s">
        <v>773</v>
      </c>
      <c r="M89" s="47" t="e">
        <f>K87/M87</f>
        <v>#DIV/0!</v>
      </c>
      <c r="N89" s="36"/>
      <c r="O89" s="40" t="s">
        <v>774</v>
      </c>
      <c r="P89" s="40">
        <f>K87/O87</f>
        <v>39898.6</v>
      </c>
      <c r="Q89" s="17"/>
      <c r="R89" s="17" t="s">
        <v>775</v>
      </c>
      <c r="S89" s="46">
        <f>K87/O87/43560</f>
        <v>0.91594582185491269</v>
      </c>
      <c r="T89" s="41"/>
      <c r="U89" s="12"/>
      <c r="V89" s="11"/>
      <c r="W89" s="11"/>
      <c r="X89" s="11"/>
      <c r="Y89" s="11"/>
    </row>
    <row r="90" spans="1:45" x14ac:dyDescent="0.25">
      <c r="O90" s="49" t="s">
        <v>783</v>
      </c>
      <c r="P90" s="50">
        <v>30000</v>
      </c>
    </row>
    <row r="91" spans="1:45" ht="15.75" thickBot="1" x14ac:dyDescent="0.3">
      <c r="O91" s="51" t="s">
        <v>784</v>
      </c>
      <c r="P91" s="52">
        <v>35000</v>
      </c>
    </row>
  </sheetData>
  <sortState xmlns:xlrd2="http://schemas.microsoft.com/office/spreadsheetml/2017/richdata2" ref="A82:AS86">
    <sortCondition ref="R82:R86"/>
  </sortState>
  <conditionalFormatting sqref="A4:Y28 A36:Y46 A54:Y54 A62:Y62 A70:Y74 A82:Y86">
    <cfRule type="expression" dxfId="17" priority="15" stopIfTrue="1">
      <formula>MOD(ROW(),4)&gt;1</formula>
    </cfRule>
    <cfRule type="expression" dxfId="16" priority="16" stopIfTrue="1">
      <formula>MOD(ROW(),4)&lt;2</formula>
    </cfRule>
  </conditionalFormatting>
  <pageMargins left="0.7" right="0.7" top="0.75" bottom="0.75" header="0.3" footer="0.3"/>
  <pageSetup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D6CCE-6258-4541-8754-8CB81FDBFE44}">
  <dimension ref="A1:AS359"/>
  <sheetViews>
    <sheetView topLeftCell="A312" workbookViewId="0">
      <selection activeCell="F325" sqref="F325"/>
    </sheetView>
  </sheetViews>
  <sheetFormatPr defaultRowHeight="15" x14ac:dyDescent="0.25"/>
  <cols>
    <col min="1" max="1" width="18.140625" bestFit="1" customWidth="1"/>
    <col min="2" max="2" width="26.5703125" bestFit="1" customWidth="1"/>
    <col min="3" max="3" width="9.28515625" style="24" bestFit="1" customWidth="1"/>
    <col min="4" max="4" width="11.85546875" style="14" bestFit="1" customWidth="1"/>
    <col min="5" max="5" width="5.5703125" bestFit="1" customWidth="1"/>
    <col min="6" max="6" width="38.42578125" bestFit="1" customWidth="1"/>
    <col min="7" max="7" width="11.85546875" style="14" bestFit="1" customWidth="1"/>
    <col min="8" max="8" width="12.7109375" style="14" bestFit="1" customWidth="1"/>
    <col min="9" max="9" width="12.85546875" style="19" bestFit="1" customWidth="1"/>
    <col min="10" max="10" width="13.42578125" style="14" bestFit="1" customWidth="1"/>
    <col min="11" max="11" width="13.28515625" style="14" bestFit="1" customWidth="1"/>
    <col min="12" max="12" width="14.42578125" style="14" bestFit="1" customWidth="1"/>
    <col min="13" max="13" width="11.140625" style="29" bestFit="1" customWidth="1"/>
    <col min="14" max="14" width="6.42578125" style="33" bestFit="1" customWidth="1"/>
    <col min="15" max="15" width="14.28515625" style="38" bestFit="1" customWidth="1"/>
    <col min="16" max="16" width="10.7109375" style="38" bestFit="1" customWidth="1"/>
    <col min="17" max="17" width="10" style="14" bestFit="1" customWidth="1"/>
    <col min="18" max="18" width="12" style="14" bestFit="1" customWidth="1"/>
    <col min="19" max="19" width="11.85546875" style="43" bestFit="1" customWidth="1"/>
    <col min="20" max="20" width="11.7109375" style="38" bestFit="1" customWidth="1"/>
    <col min="21" max="21" width="8.7109375" style="4" bestFit="1" customWidth="1"/>
    <col min="22" max="22" width="10.5703125" bestFit="1" customWidth="1"/>
    <col min="23" max="23" width="36.5703125" bestFit="1" customWidth="1"/>
    <col min="24" max="24" width="29" bestFit="1" customWidth="1"/>
    <col min="25" max="25" width="5.42578125" bestFit="1" customWidth="1"/>
  </cols>
  <sheetData>
    <row r="1" spans="1:45" x14ac:dyDescent="0.25">
      <c r="A1" s="48" t="s">
        <v>835</v>
      </c>
    </row>
    <row r="2" spans="1:45" x14ac:dyDescent="0.25">
      <c r="A2" s="1" t="s">
        <v>0</v>
      </c>
      <c r="B2" s="1" t="s">
        <v>1</v>
      </c>
      <c r="C2" s="23" t="s">
        <v>2</v>
      </c>
      <c r="D2" s="13" t="s">
        <v>3</v>
      </c>
      <c r="E2" s="1" t="s">
        <v>4</v>
      </c>
      <c r="F2" s="1" t="s">
        <v>5</v>
      </c>
      <c r="G2" s="13" t="s">
        <v>6</v>
      </c>
      <c r="H2" s="13" t="s">
        <v>7</v>
      </c>
      <c r="I2" s="18" t="s">
        <v>8</v>
      </c>
      <c r="J2" s="13" t="s">
        <v>9</v>
      </c>
      <c r="K2" s="13" t="s">
        <v>10</v>
      </c>
      <c r="L2" s="13" t="s">
        <v>11</v>
      </c>
      <c r="M2" s="28" t="s">
        <v>12</v>
      </c>
      <c r="N2" s="32" t="s">
        <v>13</v>
      </c>
      <c r="O2" s="37" t="s">
        <v>14</v>
      </c>
      <c r="P2" s="37" t="s">
        <v>15</v>
      </c>
      <c r="Q2" s="13" t="s">
        <v>16</v>
      </c>
      <c r="R2" s="13" t="s">
        <v>17</v>
      </c>
      <c r="S2" s="42" t="s">
        <v>18</v>
      </c>
      <c r="T2" s="37" t="s">
        <v>19</v>
      </c>
      <c r="U2" s="3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</row>
    <row r="3" spans="1:45" x14ac:dyDescent="0.25">
      <c r="A3" t="s">
        <v>569</v>
      </c>
      <c r="B3" t="s">
        <v>570</v>
      </c>
      <c r="C3" s="24">
        <v>45148</v>
      </c>
      <c r="D3" s="14">
        <v>230000</v>
      </c>
      <c r="E3" t="s">
        <v>27</v>
      </c>
      <c r="F3" t="s">
        <v>28</v>
      </c>
      <c r="G3" s="14">
        <v>230000</v>
      </c>
      <c r="H3" s="14">
        <v>112000</v>
      </c>
      <c r="I3" s="19">
        <f t="shared" ref="I3:I34" si="0">H3/G3*100</f>
        <v>48.695652173913047</v>
      </c>
      <c r="J3" s="14">
        <v>223922</v>
      </c>
      <c r="K3" s="14">
        <f>G3-211162</f>
        <v>18838</v>
      </c>
      <c r="L3" s="14">
        <v>12760</v>
      </c>
      <c r="M3" s="29">
        <v>0</v>
      </c>
      <c r="N3" s="33">
        <v>0</v>
      </c>
      <c r="O3" s="38">
        <v>0.28999999999999998</v>
      </c>
      <c r="P3" s="38">
        <v>0.28999999999999998</v>
      </c>
      <c r="Q3" s="14" t="e">
        <f t="shared" ref="Q3:Q34" si="1">K3/M3</f>
        <v>#DIV/0!</v>
      </c>
      <c r="R3" s="14">
        <f t="shared" ref="R3:R34" si="2">K3/O3</f>
        <v>64958.620689655174</v>
      </c>
      <c r="S3" s="43">
        <f t="shared" ref="S3:S34" si="3">K3/O3/43560</f>
        <v>1.4912447357588423</v>
      </c>
      <c r="T3" s="38">
        <v>0</v>
      </c>
      <c r="U3" s="5" t="s">
        <v>29</v>
      </c>
      <c r="V3" t="s">
        <v>571</v>
      </c>
      <c r="X3" t="s">
        <v>31</v>
      </c>
      <c r="Y3" s="6" t="s">
        <v>32</v>
      </c>
    </row>
    <row r="4" spans="1:45" x14ac:dyDescent="0.25">
      <c r="A4" t="s">
        <v>183</v>
      </c>
      <c r="B4" t="s">
        <v>184</v>
      </c>
      <c r="C4" s="24">
        <v>44533</v>
      </c>
      <c r="D4" s="14">
        <v>142500</v>
      </c>
      <c r="E4" t="s">
        <v>27</v>
      </c>
      <c r="F4" t="s">
        <v>28</v>
      </c>
      <c r="G4" s="14">
        <v>142500</v>
      </c>
      <c r="H4" s="14">
        <v>54400</v>
      </c>
      <c r="I4" s="19">
        <f t="shared" si="0"/>
        <v>38.175438596491226</v>
      </c>
      <c r="J4" s="14">
        <v>108897</v>
      </c>
      <c r="K4" s="14">
        <f>G4-86897</f>
        <v>55603</v>
      </c>
      <c r="L4" s="14">
        <v>22000</v>
      </c>
      <c r="M4" s="29">
        <v>0</v>
      </c>
      <c r="N4" s="33">
        <v>0</v>
      </c>
      <c r="O4" s="38">
        <v>0.5</v>
      </c>
      <c r="P4" s="38">
        <v>0.5</v>
      </c>
      <c r="Q4" s="14" t="e">
        <f t="shared" si="1"/>
        <v>#DIV/0!</v>
      </c>
      <c r="R4" s="14">
        <f t="shared" si="2"/>
        <v>111206</v>
      </c>
      <c r="S4" s="43">
        <f t="shared" si="3"/>
        <v>2.5529384756657483</v>
      </c>
      <c r="T4" s="38">
        <v>0</v>
      </c>
      <c r="U4" s="5" t="s">
        <v>29</v>
      </c>
      <c r="V4" t="s">
        <v>185</v>
      </c>
      <c r="X4" t="s">
        <v>31</v>
      </c>
      <c r="Y4" s="6" t="s">
        <v>32</v>
      </c>
    </row>
    <row r="5" spans="1:45" x14ac:dyDescent="0.25">
      <c r="A5" t="s">
        <v>138</v>
      </c>
      <c r="B5" t="s">
        <v>139</v>
      </c>
      <c r="C5" s="24">
        <v>45082</v>
      </c>
      <c r="D5" s="14">
        <v>200000</v>
      </c>
      <c r="E5" t="s">
        <v>27</v>
      </c>
      <c r="F5" t="s">
        <v>28</v>
      </c>
      <c r="G5" s="14">
        <v>200000</v>
      </c>
      <c r="H5" s="14">
        <v>70400</v>
      </c>
      <c r="I5" s="19">
        <f t="shared" si="0"/>
        <v>35.199999999999996</v>
      </c>
      <c r="J5" s="14">
        <v>140775</v>
      </c>
      <c r="K5" s="14">
        <f>G5-114815</f>
        <v>85185</v>
      </c>
      <c r="L5" s="14">
        <v>25960</v>
      </c>
      <c r="M5" s="29">
        <v>0</v>
      </c>
      <c r="N5" s="33">
        <v>0</v>
      </c>
      <c r="O5" s="38">
        <v>0.59</v>
      </c>
      <c r="P5" s="38">
        <v>0.59</v>
      </c>
      <c r="Q5" s="14" t="e">
        <f t="shared" si="1"/>
        <v>#DIV/0!</v>
      </c>
      <c r="R5" s="14">
        <f t="shared" si="2"/>
        <v>144381.35593220338</v>
      </c>
      <c r="S5" s="43">
        <f t="shared" si="3"/>
        <v>3.3145398515198203</v>
      </c>
      <c r="T5" s="38">
        <v>0</v>
      </c>
      <c r="U5" s="5" t="s">
        <v>29</v>
      </c>
      <c r="V5" t="s">
        <v>140</v>
      </c>
      <c r="X5" t="s">
        <v>31</v>
      </c>
      <c r="Y5" s="6" t="s">
        <v>32</v>
      </c>
    </row>
    <row r="6" spans="1:45" x14ac:dyDescent="0.25">
      <c r="A6" t="s">
        <v>60</v>
      </c>
      <c r="B6" t="s">
        <v>61</v>
      </c>
      <c r="C6" s="24">
        <v>44708</v>
      </c>
      <c r="D6" s="14">
        <v>255000</v>
      </c>
      <c r="E6" t="s">
        <v>27</v>
      </c>
      <c r="F6" t="s">
        <v>28</v>
      </c>
      <c r="G6" s="14">
        <v>255000</v>
      </c>
      <c r="H6" s="14">
        <v>73100</v>
      </c>
      <c r="I6" s="19">
        <f t="shared" si="0"/>
        <v>28.666666666666668</v>
      </c>
      <c r="J6" s="14">
        <v>146135</v>
      </c>
      <c r="K6" s="14">
        <f>G6-119295</f>
        <v>135705</v>
      </c>
      <c r="L6" s="14">
        <v>26840</v>
      </c>
      <c r="M6" s="29">
        <v>0</v>
      </c>
      <c r="N6" s="33">
        <v>0</v>
      </c>
      <c r="O6" s="38">
        <v>0.61</v>
      </c>
      <c r="P6" s="38">
        <v>0.61</v>
      </c>
      <c r="Q6" s="14" t="e">
        <f t="shared" si="1"/>
        <v>#DIV/0!</v>
      </c>
      <c r="R6" s="14">
        <f t="shared" si="2"/>
        <v>222467.21311475409</v>
      </c>
      <c r="S6" s="43">
        <f t="shared" si="3"/>
        <v>5.107144470035677</v>
      </c>
      <c r="T6" s="38">
        <v>0</v>
      </c>
      <c r="U6" s="5" t="s">
        <v>29</v>
      </c>
      <c r="V6" t="s">
        <v>62</v>
      </c>
      <c r="X6" t="s">
        <v>31</v>
      </c>
      <c r="Y6" s="6" t="s">
        <v>32</v>
      </c>
    </row>
    <row r="7" spans="1:45" x14ac:dyDescent="0.25">
      <c r="A7" t="s">
        <v>82</v>
      </c>
      <c r="B7" t="s">
        <v>83</v>
      </c>
      <c r="C7" s="24">
        <v>44662</v>
      </c>
      <c r="D7" s="14">
        <v>145000</v>
      </c>
      <c r="E7" t="s">
        <v>84</v>
      </c>
      <c r="F7" t="s">
        <v>28</v>
      </c>
      <c r="G7" s="14">
        <v>145000</v>
      </c>
      <c r="H7" s="14">
        <v>57500</v>
      </c>
      <c r="I7" s="19">
        <f t="shared" si="0"/>
        <v>39.655172413793103</v>
      </c>
      <c r="J7" s="14">
        <v>114963</v>
      </c>
      <c r="K7" s="14">
        <f>G7-88123</f>
        <v>56877</v>
      </c>
      <c r="L7" s="14">
        <v>26840</v>
      </c>
      <c r="M7" s="29">
        <v>0</v>
      </c>
      <c r="N7" s="33">
        <v>0</v>
      </c>
      <c r="O7" s="38">
        <v>0.61</v>
      </c>
      <c r="P7" s="38">
        <v>0.61</v>
      </c>
      <c r="Q7" s="14" t="e">
        <f t="shared" si="1"/>
        <v>#DIV/0!</v>
      </c>
      <c r="R7" s="14">
        <f t="shared" si="2"/>
        <v>93240.983606557376</v>
      </c>
      <c r="S7" s="43">
        <f t="shared" si="3"/>
        <v>2.1405184482680757</v>
      </c>
      <c r="T7" s="38">
        <v>0</v>
      </c>
      <c r="U7" s="5" t="s">
        <v>29</v>
      </c>
      <c r="V7" t="s">
        <v>85</v>
      </c>
      <c r="X7" t="s">
        <v>31</v>
      </c>
      <c r="Y7" s="6" t="s">
        <v>32</v>
      </c>
    </row>
    <row r="8" spans="1:45" x14ac:dyDescent="0.25">
      <c r="A8" t="s">
        <v>556</v>
      </c>
      <c r="B8" t="s">
        <v>557</v>
      </c>
      <c r="C8" s="24">
        <v>44488</v>
      </c>
      <c r="D8" s="14">
        <v>225000</v>
      </c>
      <c r="E8" t="s">
        <v>27</v>
      </c>
      <c r="F8" t="s">
        <v>28</v>
      </c>
      <c r="G8" s="14">
        <v>225000</v>
      </c>
      <c r="H8" s="14">
        <v>93500</v>
      </c>
      <c r="I8" s="19">
        <f t="shared" si="0"/>
        <v>41.555555555555557</v>
      </c>
      <c r="J8" s="14">
        <v>186940</v>
      </c>
      <c r="K8" s="14">
        <f>G8-155260</f>
        <v>69740</v>
      </c>
      <c r="L8" s="14">
        <v>31680</v>
      </c>
      <c r="M8" s="29">
        <v>0</v>
      </c>
      <c r="N8" s="33">
        <v>0</v>
      </c>
      <c r="O8" s="38">
        <v>0.72</v>
      </c>
      <c r="P8" s="38">
        <v>0.72</v>
      </c>
      <c r="Q8" s="14" t="e">
        <f t="shared" si="1"/>
        <v>#DIV/0!</v>
      </c>
      <c r="R8" s="14">
        <f t="shared" si="2"/>
        <v>96861.111111111109</v>
      </c>
      <c r="S8" s="43">
        <f t="shared" si="3"/>
        <v>2.2236251402918068</v>
      </c>
      <c r="T8" s="38">
        <v>0</v>
      </c>
      <c r="U8" s="5" t="s">
        <v>29</v>
      </c>
      <c r="V8" t="s">
        <v>558</v>
      </c>
      <c r="X8" t="s">
        <v>31</v>
      </c>
      <c r="Y8" s="6" t="s">
        <v>32</v>
      </c>
    </row>
    <row r="9" spans="1:45" x14ac:dyDescent="0.25">
      <c r="A9" t="s">
        <v>101</v>
      </c>
      <c r="B9" t="s">
        <v>102</v>
      </c>
      <c r="C9" s="24">
        <v>44575</v>
      </c>
      <c r="D9" s="14">
        <v>165000</v>
      </c>
      <c r="E9" t="s">
        <v>27</v>
      </c>
      <c r="F9" t="s">
        <v>28</v>
      </c>
      <c r="G9" s="14">
        <v>165000</v>
      </c>
      <c r="H9" s="14">
        <v>93100</v>
      </c>
      <c r="I9" s="19">
        <f t="shared" si="0"/>
        <v>56.424242424242422</v>
      </c>
      <c r="J9" s="14">
        <v>186263</v>
      </c>
      <c r="K9" s="14">
        <f>G9-154143</f>
        <v>10857</v>
      </c>
      <c r="L9" s="14">
        <v>32120</v>
      </c>
      <c r="M9" s="29">
        <v>0</v>
      </c>
      <c r="N9" s="33">
        <v>0</v>
      </c>
      <c r="O9" s="38">
        <v>0.73</v>
      </c>
      <c r="P9" s="38">
        <v>0.73</v>
      </c>
      <c r="Q9" s="14" t="e">
        <f t="shared" si="1"/>
        <v>#DIV/0!</v>
      </c>
      <c r="R9" s="14">
        <f t="shared" si="2"/>
        <v>14872.602739726028</v>
      </c>
      <c r="S9" s="43">
        <f t="shared" si="3"/>
        <v>0.3414279784142798</v>
      </c>
      <c r="T9" s="38">
        <v>0</v>
      </c>
      <c r="U9" s="5" t="s">
        <v>29</v>
      </c>
      <c r="V9" t="s">
        <v>103</v>
      </c>
      <c r="X9" t="s">
        <v>31</v>
      </c>
      <c r="Y9" s="6" t="s">
        <v>32</v>
      </c>
    </row>
    <row r="10" spans="1:45" x14ac:dyDescent="0.25">
      <c r="A10" t="s">
        <v>98</v>
      </c>
      <c r="B10" t="s">
        <v>99</v>
      </c>
      <c r="C10" s="24">
        <v>45013</v>
      </c>
      <c r="D10" s="14">
        <v>188250</v>
      </c>
      <c r="E10" t="s">
        <v>27</v>
      </c>
      <c r="F10" t="s">
        <v>28</v>
      </c>
      <c r="G10" s="14">
        <v>188250</v>
      </c>
      <c r="H10" s="14">
        <v>58400</v>
      </c>
      <c r="I10" s="19">
        <f t="shared" si="0"/>
        <v>31.02257636122178</v>
      </c>
      <c r="J10" s="14">
        <v>116801</v>
      </c>
      <c r="K10" s="14">
        <f>G10-84241</f>
        <v>104009</v>
      </c>
      <c r="L10" s="14">
        <v>32560</v>
      </c>
      <c r="M10" s="29">
        <v>0</v>
      </c>
      <c r="N10" s="33">
        <v>0</v>
      </c>
      <c r="O10" s="38">
        <v>0.74</v>
      </c>
      <c r="P10" s="38">
        <v>0.74</v>
      </c>
      <c r="Q10" s="14" t="e">
        <f t="shared" si="1"/>
        <v>#DIV/0!</v>
      </c>
      <c r="R10" s="14">
        <f t="shared" si="2"/>
        <v>140552.70270270269</v>
      </c>
      <c r="S10" s="43">
        <f t="shared" si="3"/>
        <v>3.226646067555158</v>
      </c>
      <c r="T10" s="38">
        <v>0</v>
      </c>
      <c r="U10" s="5" t="s">
        <v>29</v>
      </c>
      <c r="V10" t="s">
        <v>100</v>
      </c>
      <c r="X10" t="s">
        <v>31</v>
      </c>
      <c r="Y10" s="6" t="s">
        <v>32</v>
      </c>
    </row>
    <row r="11" spans="1:45" x14ac:dyDescent="0.25">
      <c r="A11" t="s">
        <v>39</v>
      </c>
      <c r="B11" t="s">
        <v>40</v>
      </c>
      <c r="C11" s="24">
        <v>44482</v>
      </c>
      <c r="D11" s="14">
        <v>205000</v>
      </c>
      <c r="E11" t="s">
        <v>27</v>
      </c>
      <c r="F11" t="s">
        <v>28</v>
      </c>
      <c r="G11" s="14">
        <v>205000</v>
      </c>
      <c r="H11" s="14">
        <v>65800</v>
      </c>
      <c r="I11" s="19">
        <f t="shared" si="0"/>
        <v>32.09756097560976</v>
      </c>
      <c r="J11" s="14">
        <v>131501</v>
      </c>
      <c r="K11" s="14">
        <f>G11-98501</f>
        <v>106499</v>
      </c>
      <c r="L11" s="14">
        <v>33000</v>
      </c>
      <c r="M11" s="29">
        <v>0</v>
      </c>
      <c r="N11" s="33">
        <v>0</v>
      </c>
      <c r="O11" s="38">
        <v>0.75</v>
      </c>
      <c r="P11" s="38">
        <v>0.75</v>
      </c>
      <c r="Q11" s="14" t="e">
        <f t="shared" si="1"/>
        <v>#DIV/0!</v>
      </c>
      <c r="R11" s="14">
        <f t="shared" si="2"/>
        <v>141998.66666666666</v>
      </c>
      <c r="S11" s="43">
        <f t="shared" si="3"/>
        <v>3.2598408325681052</v>
      </c>
      <c r="T11" s="38">
        <v>0</v>
      </c>
      <c r="U11" s="5" t="s">
        <v>29</v>
      </c>
      <c r="V11" t="s">
        <v>41</v>
      </c>
      <c r="X11" t="s">
        <v>31</v>
      </c>
      <c r="Y11" s="6" t="s">
        <v>32</v>
      </c>
    </row>
    <row r="12" spans="1:45" x14ac:dyDescent="0.25">
      <c r="A12" t="s">
        <v>33</v>
      </c>
      <c r="B12" t="s">
        <v>34</v>
      </c>
      <c r="C12" s="24">
        <v>44897</v>
      </c>
      <c r="D12" s="14">
        <v>142400</v>
      </c>
      <c r="E12" t="s">
        <v>27</v>
      </c>
      <c r="F12" t="s">
        <v>28</v>
      </c>
      <c r="G12" s="14">
        <v>142400</v>
      </c>
      <c r="H12" s="14">
        <v>69200</v>
      </c>
      <c r="I12" s="19">
        <f t="shared" si="0"/>
        <v>48.59550561797753</v>
      </c>
      <c r="J12" s="14">
        <v>138336</v>
      </c>
      <c r="K12" s="14">
        <f>G12-97856</f>
        <v>44544</v>
      </c>
      <c r="L12" s="14">
        <v>40480</v>
      </c>
      <c r="M12" s="29">
        <v>0</v>
      </c>
      <c r="N12" s="33">
        <v>0</v>
      </c>
      <c r="O12" s="38">
        <v>0.92</v>
      </c>
      <c r="P12" s="38">
        <v>0.92</v>
      </c>
      <c r="Q12" s="14" t="e">
        <f t="shared" si="1"/>
        <v>#DIV/0!</v>
      </c>
      <c r="R12" s="14">
        <f t="shared" si="2"/>
        <v>48417.391304347824</v>
      </c>
      <c r="S12" s="43">
        <f t="shared" si="3"/>
        <v>1.1115103605222181</v>
      </c>
      <c r="T12" s="38">
        <v>0</v>
      </c>
      <c r="U12" s="5" t="s">
        <v>29</v>
      </c>
      <c r="V12" t="s">
        <v>35</v>
      </c>
      <c r="X12" t="s">
        <v>31</v>
      </c>
      <c r="Y12" s="6" t="s">
        <v>32</v>
      </c>
    </row>
    <row r="13" spans="1:45" x14ac:dyDescent="0.25">
      <c r="A13" t="s">
        <v>144</v>
      </c>
      <c r="B13" t="s">
        <v>145</v>
      </c>
      <c r="C13" s="24">
        <v>44944</v>
      </c>
      <c r="D13" s="14">
        <v>119900</v>
      </c>
      <c r="E13" t="s">
        <v>27</v>
      </c>
      <c r="F13" t="s">
        <v>28</v>
      </c>
      <c r="G13" s="14">
        <v>119900</v>
      </c>
      <c r="H13" s="14">
        <v>47400</v>
      </c>
      <c r="I13" s="19">
        <f t="shared" si="0"/>
        <v>39.532944120100083</v>
      </c>
      <c r="J13" s="14">
        <v>94875</v>
      </c>
      <c r="K13" s="14">
        <f>G13-52195</f>
        <v>67705</v>
      </c>
      <c r="L13" s="14">
        <v>42680</v>
      </c>
      <c r="M13" s="29">
        <v>0</v>
      </c>
      <c r="N13" s="33">
        <v>0</v>
      </c>
      <c r="O13" s="38">
        <v>0.97</v>
      </c>
      <c r="P13" s="38">
        <v>0.97</v>
      </c>
      <c r="Q13" s="14" t="e">
        <f t="shared" si="1"/>
        <v>#DIV/0!</v>
      </c>
      <c r="R13" s="14">
        <f t="shared" si="2"/>
        <v>69798.969072164953</v>
      </c>
      <c r="S13" s="43">
        <f t="shared" si="3"/>
        <v>1.602363844631886</v>
      </c>
      <c r="T13" s="38">
        <v>0</v>
      </c>
      <c r="U13" s="5" t="s">
        <v>29</v>
      </c>
      <c r="V13" t="s">
        <v>146</v>
      </c>
      <c r="X13" t="s">
        <v>31</v>
      </c>
      <c r="Y13" s="6" t="s">
        <v>32</v>
      </c>
    </row>
    <row r="14" spans="1:45" x14ac:dyDescent="0.25">
      <c r="A14" t="s">
        <v>86</v>
      </c>
      <c r="B14" t="s">
        <v>87</v>
      </c>
      <c r="C14" s="24">
        <v>44466</v>
      </c>
      <c r="D14" s="14">
        <v>202000</v>
      </c>
      <c r="E14" t="s">
        <v>27</v>
      </c>
      <c r="F14" t="s">
        <v>28</v>
      </c>
      <c r="G14" s="14">
        <v>202000</v>
      </c>
      <c r="H14" s="14">
        <v>83500</v>
      </c>
      <c r="I14" s="19">
        <f t="shared" si="0"/>
        <v>41.336633663366335</v>
      </c>
      <c r="J14" s="14">
        <v>166983</v>
      </c>
      <c r="K14" s="14">
        <f>G14-123863</f>
        <v>78137</v>
      </c>
      <c r="L14" s="14">
        <v>43120</v>
      </c>
      <c r="M14" s="29">
        <v>0</v>
      </c>
      <c r="N14" s="33">
        <v>0</v>
      </c>
      <c r="O14" s="38">
        <v>0.98</v>
      </c>
      <c r="P14" s="38">
        <v>0.98</v>
      </c>
      <c r="Q14" s="14" t="e">
        <f t="shared" si="1"/>
        <v>#DIV/0!</v>
      </c>
      <c r="R14" s="14">
        <f t="shared" si="2"/>
        <v>79731.632653061228</v>
      </c>
      <c r="S14" s="43">
        <f t="shared" si="3"/>
        <v>1.8303864245422687</v>
      </c>
      <c r="T14" s="38">
        <v>0</v>
      </c>
      <c r="U14" s="5" t="s">
        <v>29</v>
      </c>
      <c r="V14" t="s">
        <v>88</v>
      </c>
      <c r="X14" t="s">
        <v>31</v>
      </c>
      <c r="Y14" s="6" t="s">
        <v>32</v>
      </c>
    </row>
    <row r="15" spans="1:45" x14ac:dyDescent="0.25">
      <c r="A15" t="s">
        <v>269</v>
      </c>
      <c r="B15" t="s">
        <v>270</v>
      </c>
      <c r="C15" s="24">
        <v>44750</v>
      </c>
      <c r="D15" s="14">
        <v>270000</v>
      </c>
      <c r="E15" t="s">
        <v>27</v>
      </c>
      <c r="F15" t="s">
        <v>28</v>
      </c>
      <c r="G15" s="14">
        <v>270000</v>
      </c>
      <c r="H15" s="14">
        <v>100300</v>
      </c>
      <c r="I15" s="19">
        <f t="shared" si="0"/>
        <v>37.148148148148145</v>
      </c>
      <c r="J15" s="14">
        <v>200653</v>
      </c>
      <c r="K15" s="14">
        <f>G15-156653</f>
        <v>113347</v>
      </c>
      <c r="L15" s="14">
        <v>44000</v>
      </c>
      <c r="M15" s="29">
        <v>0</v>
      </c>
      <c r="N15" s="33">
        <v>0</v>
      </c>
      <c r="O15" s="38">
        <v>1</v>
      </c>
      <c r="P15" s="38">
        <v>1</v>
      </c>
      <c r="Q15" s="14" t="e">
        <f t="shared" si="1"/>
        <v>#DIV/0!</v>
      </c>
      <c r="R15" s="14">
        <f t="shared" si="2"/>
        <v>113347</v>
      </c>
      <c r="S15" s="43">
        <f t="shared" si="3"/>
        <v>2.6020890725436181</v>
      </c>
      <c r="T15" s="38">
        <v>0</v>
      </c>
      <c r="U15" s="5" t="s">
        <v>29</v>
      </c>
      <c r="V15" t="s">
        <v>271</v>
      </c>
      <c r="X15" t="s">
        <v>31</v>
      </c>
      <c r="Y15" s="6" t="s">
        <v>32</v>
      </c>
    </row>
    <row r="16" spans="1:45" x14ac:dyDescent="0.25">
      <c r="A16" t="s">
        <v>201</v>
      </c>
      <c r="B16" t="s">
        <v>202</v>
      </c>
      <c r="C16" s="24">
        <v>45014</v>
      </c>
      <c r="D16" s="14">
        <v>215000</v>
      </c>
      <c r="E16" t="s">
        <v>27</v>
      </c>
      <c r="F16" t="s">
        <v>28</v>
      </c>
      <c r="G16" s="14">
        <v>215000</v>
      </c>
      <c r="H16" s="14">
        <v>81200</v>
      </c>
      <c r="I16" s="19">
        <f t="shared" si="0"/>
        <v>37.767441860465119</v>
      </c>
      <c r="J16" s="14">
        <v>162376</v>
      </c>
      <c r="K16" s="14">
        <f>G16-118376</f>
        <v>96624</v>
      </c>
      <c r="L16" s="14">
        <v>44000</v>
      </c>
      <c r="M16" s="29">
        <v>0</v>
      </c>
      <c r="N16" s="33">
        <v>0</v>
      </c>
      <c r="O16" s="38">
        <v>1</v>
      </c>
      <c r="P16" s="38">
        <v>1</v>
      </c>
      <c r="Q16" s="14" t="e">
        <f t="shared" si="1"/>
        <v>#DIV/0!</v>
      </c>
      <c r="R16" s="14">
        <f t="shared" si="2"/>
        <v>96624</v>
      </c>
      <c r="S16" s="43">
        <f t="shared" si="3"/>
        <v>2.2181818181818183</v>
      </c>
      <c r="T16" s="38">
        <v>0</v>
      </c>
      <c r="U16" s="5" t="s">
        <v>29</v>
      </c>
      <c r="V16" t="s">
        <v>203</v>
      </c>
      <c r="X16" t="s">
        <v>31</v>
      </c>
      <c r="Y16" s="6" t="s">
        <v>32</v>
      </c>
    </row>
    <row r="17" spans="1:25" x14ac:dyDescent="0.25">
      <c r="A17" t="s">
        <v>251</v>
      </c>
      <c r="B17" t="s">
        <v>252</v>
      </c>
      <c r="C17" s="24">
        <v>44943</v>
      </c>
      <c r="D17" s="14">
        <v>282000</v>
      </c>
      <c r="E17" t="s">
        <v>27</v>
      </c>
      <c r="F17" t="s">
        <v>28</v>
      </c>
      <c r="G17" s="14">
        <v>282000</v>
      </c>
      <c r="H17" s="14">
        <v>120900</v>
      </c>
      <c r="I17" s="19">
        <f t="shared" si="0"/>
        <v>42.87234042553191</v>
      </c>
      <c r="J17" s="14">
        <v>241736</v>
      </c>
      <c r="K17" s="14">
        <f>G17-197736</f>
        <v>84264</v>
      </c>
      <c r="L17" s="14">
        <v>44000</v>
      </c>
      <c r="M17" s="29">
        <v>0</v>
      </c>
      <c r="N17" s="33">
        <v>0</v>
      </c>
      <c r="O17" s="38">
        <v>1</v>
      </c>
      <c r="P17" s="38">
        <v>1</v>
      </c>
      <c r="Q17" s="14" t="e">
        <f t="shared" si="1"/>
        <v>#DIV/0!</v>
      </c>
      <c r="R17" s="14">
        <f t="shared" si="2"/>
        <v>84264</v>
      </c>
      <c r="S17" s="43">
        <f t="shared" si="3"/>
        <v>1.934435261707989</v>
      </c>
      <c r="T17" s="38">
        <v>0</v>
      </c>
      <c r="U17" s="5" t="s">
        <v>29</v>
      </c>
      <c r="V17" t="s">
        <v>253</v>
      </c>
      <c r="X17" t="s">
        <v>31</v>
      </c>
      <c r="Y17" s="6" t="s">
        <v>32</v>
      </c>
    </row>
    <row r="18" spans="1:25" x14ac:dyDescent="0.25">
      <c r="A18" t="s">
        <v>299</v>
      </c>
      <c r="B18" t="s">
        <v>300</v>
      </c>
      <c r="C18" s="24">
        <v>44312</v>
      </c>
      <c r="D18" s="14">
        <v>183000</v>
      </c>
      <c r="E18" t="s">
        <v>27</v>
      </c>
      <c r="F18" t="s">
        <v>28</v>
      </c>
      <c r="G18" s="14">
        <v>183000</v>
      </c>
      <c r="H18" s="14">
        <v>79700</v>
      </c>
      <c r="I18" s="19">
        <f t="shared" si="0"/>
        <v>43.551912568306008</v>
      </c>
      <c r="J18" s="14">
        <v>159412</v>
      </c>
      <c r="K18" s="14">
        <f>G18-115412</f>
        <v>67588</v>
      </c>
      <c r="L18" s="14">
        <v>44000</v>
      </c>
      <c r="M18" s="29">
        <v>0</v>
      </c>
      <c r="N18" s="33">
        <v>0</v>
      </c>
      <c r="O18" s="38">
        <v>1</v>
      </c>
      <c r="P18" s="38">
        <v>1</v>
      </c>
      <c r="Q18" s="14" t="e">
        <f t="shared" si="1"/>
        <v>#DIV/0!</v>
      </c>
      <c r="R18" s="14">
        <f t="shared" si="2"/>
        <v>67588</v>
      </c>
      <c r="S18" s="43">
        <f t="shared" si="3"/>
        <v>1.5516069788797062</v>
      </c>
      <c r="T18" s="38">
        <v>0</v>
      </c>
      <c r="U18" s="5" t="s">
        <v>29</v>
      </c>
      <c r="V18" t="s">
        <v>301</v>
      </c>
      <c r="X18" t="s">
        <v>31</v>
      </c>
      <c r="Y18" s="6" t="s">
        <v>32</v>
      </c>
    </row>
    <row r="19" spans="1:25" x14ac:dyDescent="0.25">
      <c r="A19" t="s">
        <v>186</v>
      </c>
      <c r="B19" t="s">
        <v>187</v>
      </c>
      <c r="C19" s="24">
        <v>45002</v>
      </c>
      <c r="D19" s="14">
        <v>183700</v>
      </c>
      <c r="E19" t="s">
        <v>27</v>
      </c>
      <c r="F19" t="s">
        <v>28</v>
      </c>
      <c r="G19" s="14">
        <v>183700</v>
      </c>
      <c r="H19" s="14">
        <v>81800</v>
      </c>
      <c r="I19" s="19">
        <f t="shared" si="0"/>
        <v>44.529123571039733</v>
      </c>
      <c r="J19" s="14">
        <v>163531</v>
      </c>
      <c r="K19" s="14">
        <f>G19-119531</f>
        <v>64169</v>
      </c>
      <c r="L19" s="14">
        <v>44000</v>
      </c>
      <c r="M19" s="29">
        <v>0</v>
      </c>
      <c r="N19" s="33">
        <v>0</v>
      </c>
      <c r="O19" s="38">
        <v>1</v>
      </c>
      <c r="P19" s="38">
        <v>1</v>
      </c>
      <c r="Q19" s="14" t="e">
        <f t="shared" si="1"/>
        <v>#DIV/0!</v>
      </c>
      <c r="R19" s="14">
        <f t="shared" si="2"/>
        <v>64169</v>
      </c>
      <c r="S19" s="43">
        <f t="shared" si="3"/>
        <v>1.47311753902663</v>
      </c>
      <c r="T19" s="38">
        <v>0</v>
      </c>
      <c r="U19" s="5" t="s">
        <v>29</v>
      </c>
      <c r="V19" t="s">
        <v>188</v>
      </c>
      <c r="X19" t="s">
        <v>31</v>
      </c>
      <c r="Y19" s="6" t="s">
        <v>32</v>
      </c>
    </row>
    <row r="20" spans="1:25" x14ac:dyDescent="0.25">
      <c r="A20" t="s">
        <v>263</v>
      </c>
      <c r="B20" t="s">
        <v>264</v>
      </c>
      <c r="C20" s="24">
        <v>44438</v>
      </c>
      <c r="D20" s="14">
        <v>156500</v>
      </c>
      <c r="E20" t="s">
        <v>27</v>
      </c>
      <c r="F20" t="s">
        <v>28</v>
      </c>
      <c r="G20" s="14">
        <v>156500</v>
      </c>
      <c r="H20" s="14">
        <v>77900</v>
      </c>
      <c r="I20" s="19">
        <f t="shared" si="0"/>
        <v>49.776357827476033</v>
      </c>
      <c r="J20" s="14">
        <v>155704</v>
      </c>
      <c r="K20" s="14">
        <f>G20-111704</f>
        <v>44796</v>
      </c>
      <c r="L20" s="14">
        <v>44000</v>
      </c>
      <c r="M20" s="29">
        <v>0</v>
      </c>
      <c r="N20" s="33">
        <v>0</v>
      </c>
      <c r="O20" s="38">
        <v>1</v>
      </c>
      <c r="P20" s="38">
        <v>1</v>
      </c>
      <c r="Q20" s="14" t="e">
        <f t="shared" si="1"/>
        <v>#DIV/0!</v>
      </c>
      <c r="R20" s="14">
        <f t="shared" si="2"/>
        <v>44796</v>
      </c>
      <c r="S20" s="43">
        <f t="shared" si="3"/>
        <v>1.028374655647383</v>
      </c>
      <c r="T20" s="38">
        <v>0</v>
      </c>
      <c r="U20" s="5" t="s">
        <v>29</v>
      </c>
      <c r="V20" t="s">
        <v>265</v>
      </c>
      <c r="X20" t="s">
        <v>31</v>
      </c>
      <c r="Y20" s="6" t="s">
        <v>32</v>
      </c>
    </row>
    <row r="21" spans="1:25" x14ac:dyDescent="0.25">
      <c r="A21" t="s">
        <v>189</v>
      </c>
      <c r="B21" t="s">
        <v>190</v>
      </c>
      <c r="C21" s="24">
        <v>44301</v>
      </c>
      <c r="D21" s="14">
        <v>228900</v>
      </c>
      <c r="E21" t="s">
        <v>27</v>
      </c>
      <c r="F21" t="s">
        <v>28</v>
      </c>
      <c r="G21" s="14">
        <v>228900</v>
      </c>
      <c r="H21" s="14">
        <v>122100</v>
      </c>
      <c r="I21" s="19">
        <f t="shared" si="0"/>
        <v>53.342070773263437</v>
      </c>
      <c r="J21" s="14">
        <v>244281</v>
      </c>
      <c r="K21" s="14">
        <f>G21-200281</f>
        <v>28619</v>
      </c>
      <c r="L21" s="14">
        <v>44000</v>
      </c>
      <c r="M21" s="29">
        <v>0</v>
      </c>
      <c r="N21" s="33">
        <v>0</v>
      </c>
      <c r="O21" s="38">
        <v>1</v>
      </c>
      <c r="P21" s="38">
        <v>1</v>
      </c>
      <c r="Q21" s="14" t="e">
        <f t="shared" si="1"/>
        <v>#DIV/0!</v>
      </c>
      <c r="R21" s="14">
        <f t="shared" si="2"/>
        <v>28619</v>
      </c>
      <c r="S21" s="43">
        <f t="shared" si="3"/>
        <v>0.65700183654729105</v>
      </c>
      <c r="T21" s="38">
        <v>0</v>
      </c>
      <c r="U21" s="5" t="s">
        <v>29</v>
      </c>
      <c r="V21" t="s">
        <v>191</v>
      </c>
      <c r="X21" t="s">
        <v>31</v>
      </c>
      <c r="Y21" s="6" t="s">
        <v>32</v>
      </c>
    </row>
    <row r="22" spans="1:25" x14ac:dyDescent="0.25">
      <c r="A22" t="s">
        <v>287</v>
      </c>
      <c r="B22" t="s">
        <v>288</v>
      </c>
      <c r="C22" s="24">
        <v>44697</v>
      </c>
      <c r="D22" s="14">
        <v>249000</v>
      </c>
      <c r="E22" t="s">
        <v>27</v>
      </c>
      <c r="F22" t="s">
        <v>28</v>
      </c>
      <c r="G22" s="14">
        <v>249000</v>
      </c>
      <c r="H22" s="14">
        <v>87300</v>
      </c>
      <c r="I22" s="19">
        <f t="shared" si="0"/>
        <v>35.060240963855421</v>
      </c>
      <c r="J22" s="14">
        <v>174539</v>
      </c>
      <c r="K22" s="14">
        <f>G22-130264</f>
        <v>118736</v>
      </c>
      <c r="L22" s="14">
        <v>44275</v>
      </c>
      <c r="M22" s="29">
        <v>0</v>
      </c>
      <c r="N22" s="33">
        <v>0</v>
      </c>
      <c r="O22" s="38">
        <v>1.01</v>
      </c>
      <c r="P22" s="38">
        <v>1.01</v>
      </c>
      <c r="Q22" s="14" t="e">
        <f t="shared" si="1"/>
        <v>#DIV/0!</v>
      </c>
      <c r="R22" s="14">
        <f t="shared" si="2"/>
        <v>117560.39603960396</v>
      </c>
      <c r="S22" s="43">
        <f t="shared" si="3"/>
        <v>2.6988153360790625</v>
      </c>
      <c r="T22" s="38">
        <v>0</v>
      </c>
      <c r="U22" s="5" t="s">
        <v>29</v>
      </c>
      <c r="V22" t="s">
        <v>289</v>
      </c>
      <c r="X22" t="s">
        <v>31</v>
      </c>
      <c r="Y22" s="6" t="s">
        <v>32</v>
      </c>
    </row>
    <row r="23" spans="1:25" x14ac:dyDescent="0.25">
      <c r="A23" t="s">
        <v>532</v>
      </c>
      <c r="B23" t="s">
        <v>533</v>
      </c>
      <c r="C23" s="24">
        <v>44687</v>
      </c>
      <c r="D23" s="14">
        <v>220000</v>
      </c>
      <c r="E23" t="s">
        <v>27</v>
      </c>
      <c r="F23" t="s">
        <v>28</v>
      </c>
      <c r="G23" s="14">
        <v>220000</v>
      </c>
      <c r="H23" s="14">
        <v>88100</v>
      </c>
      <c r="I23" s="19">
        <f t="shared" si="0"/>
        <v>40.045454545454547</v>
      </c>
      <c r="J23" s="14">
        <v>176163</v>
      </c>
      <c r="K23" s="14">
        <f>G23-131613</f>
        <v>88387</v>
      </c>
      <c r="L23" s="14">
        <v>44550</v>
      </c>
      <c r="M23" s="29">
        <v>0</v>
      </c>
      <c r="N23" s="33">
        <v>0</v>
      </c>
      <c r="O23" s="38">
        <v>1.02</v>
      </c>
      <c r="P23" s="38">
        <v>1.02</v>
      </c>
      <c r="Q23" s="14" t="e">
        <f t="shared" si="1"/>
        <v>#DIV/0!</v>
      </c>
      <c r="R23" s="14">
        <f t="shared" si="2"/>
        <v>86653.921568627455</v>
      </c>
      <c r="S23" s="43">
        <f t="shared" si="3"/>
        <v>1.9893003114928249</v>
      </c>
      <c r="T23" s="38">
        <v>0</v>
      </c>
      <c r="U23" s="5" t="s">
        <v>29</v>
      </c>
      <c r="V23" t="s">
        <v>534</v>
      </c>
      <c r="X23" t="s">
        <v>31</v>
      </c>
      <c r="Y23" s="6" t="s">
        <v>32</v>
      </c>
    </row>
    <row r="24" spans="1:25" x14ac:dyDescent="0.25">
      <c r="A24" t="s">
        <v>562</v>
      </c>
      <c r="B24" t="s">
        <v>563</v>
      </c>
      <c r="C24" s="24">
        <v>44455</v>
      </c>
      <c r="D24" s="14">
        <v>172500</v>
      </c>
      <c r="E24" t="s">
        <v>27</v>
      </c>
      <c r="F24" t="s">
        <v>28</v>
      </c>
      <c r="G24" s="14">
        <v>172500</v>
      </c>
      <c r="H24" s="14">
        <v>92800</v>
      </c>
      <c r="I24" s="19">
        <f t="shared" si="0"/>
        <v>53.797101449275367</v>
      </c>
      <c r="J24" s="14">
        <v>185595</v>
      </c>
      <c r="K24" s="14">
        <f>G24-139120</f>
        <v>33380</v>
      </c>
      <c r="L24" s="14">
        <v>46475</v>
      </c>
      <c r="M24" s="29">
        <v>0</v>
      </c>
      <c r="N24" s="33">
        <v>0</v>
      </c>
      <c r="O24" s="38">
        <v>1.0900000000000001</v>
      </c>
      <c r="P24" s="38">
        <v>1.0900000000000001</v>
      </c>
      <c r="Q24" s="14" t="e">
        <f t="shared" si="1"/>
        <v>#DIV/0!</v>
      </c>
      <c r="R24" s="14">
        <f t="shared" si="2"/>
        <v>30623.853211009173</v>
      </c>
      <c r="S24" s="43">
        <f t="shared" si="3"/>
        <v>0.70302693321875975</v>
      </c>
      <c r="T24" s="38">
        <v>0</v>
      </c>
      <c r="U24" s="5" t="s">
        <v>29</v>
      </c>
      <c r="V24" t="s">
        <v>564</v>
      </c>
      <c r="X24" t="s">
        <v>31</v>
      </c>
      <c r="Y24" s="6" t="s">
        <v>32</v>
      </c>
    </row>
    <row r="25" spans="1:25" x14ac:dyDescent="0.25">
      <c r="A25" t="s">
        <v>66</v>
      </c>
      <c r="B25" t="s">
        <v>67</v>
      </c>
      <c r="C25" s="24">
        <v>44344</v>
      </c>
      <c r="D25" s="14">
        <v>330000</v>
      </c>
      <c r="E25" t="s">
        <v>27</v>
      </c>
      <c r="F25" t="s">
        <v>28</v>
      </c>
      <c r="G25" s="14">
        <v>330000</v>
      </c>
      <c r="H25" s="14">
        <v>147500</v>
      </c>
      <c r="I25" s="19">
        <f t="shared" si="0"/>
        <v>44.696969696969695</v>
      </c>
      <c r="J25" s="14">
        <v>295081</v>
      </c>
      <c r="K25" s="14">
        <f>G25-247231</f>
        <v>82769</v>
      </c>
      <c r="L25" s="14">
        <v>47850</v>
      </c>
      <c r="M25" s="29">
        <v>0</v>
      </c>
      <c r="N25" s="33">
        <v>0</v>
      </c>
      <c r="O25" s="38">
        <v>1.1399999999999999</v>
      </c>
      <c r="P25" s="38">
        <v>1.1399999999999999</v>
      </c>
      <c r="Q25" s="14" t="e">
        <f t="shared" si="1"/>
        <v>#DIV/0!</v>
      </c>
      <c r="R25" s="14">
        <f t="shared" si="2"/>
        <v>72604.38596491229</v>
      </c>
      <c r="S25" s="43">
        <f t="shared" si="3"/>
        <v>1.6667673545663979</v>
      </c>
      <c r="T25" s="38">
        <v>0</v>
      </c>
      <c r="U25" s="5" t="s">
        <v>29</v>
      </c>
      <c r="V25" t="s">
        <v>68</v>
      </c>
      <c r="X25" t="s">
        <v>31</v>
      </c>
      <c r="Y25" s="6" t="s">
        <v>32</v>
      </c>
    </row>
    <row r="26" spans="1:25" x14ac:dyDescent="0.25">
      <c r="A26" t="s">
        <v>559</v>
      </c>
      <c r="B26" t="s">
        <v>560</v>
      </c>
      <c r="C26" s="24">
        <v>44426</v>
      </c>
      <c r="D26" s="14">
        <v>210000</v>
      </c>
      <c r="E26" t="s">
        <v>27</v>
      </c>
      <c r="F26" t="s">
        <v>28</v>
      </c>
      <c r="G26" s="14">
        <v>210000</v>
      </c>
      <c r="H26" s="14">
        <v>95100</v>
      </c>
      <c r="I26" s="19">
        <f t="shared" si="0"/>
        <v>45.285714285714285</v>
      </c>
      <c r="J26" s="14">
        <v>190268</v>
      </c>
      <c r="K26" s="14">
        <f>G26-140768</f>
        <v>69232</v>
      </c>
      <c r="L26" s="14">
        <v>49500</v>
      </c>
      <c r="M26" s="29">
        <v>0</v>
      </c>
      <c r="N26" s="33">
        <v>0</v>
      </c>
      <c r="O26" s="38">
        <v>1.2</v>
      </c>
      <c r="P26" s="38">
        <v>1.2</v>
      </c>
      <c r="Q26" s="14" t="e">
        <f t="shared" si="1"/>
        <v>#DIV/0!</v>
      </c>
      <c r="R26" s="14">
        <f t="shared" si="2"/>
        <v>57693.333333333336</v>
      </c>
      <c r="S26" s="43">
        <f t="shared" si="3"/>
        <v>1.3244566880930517</v>
      </c>
      <c r="T26" s="38">
        <v>0</v>
      </c>
      <c r="U26" s="5" t="s">
        <v>29</v>
      </c>
      <c r="V26" t="s">
        <v>561</v>
      </c>
      <c r="X26" t="s">
        <v>31</v>
      </c>
      <c r="Y26" s="6" t="s">
        <v>32</v>
      </c>
    </row>
    <row r="27" spans="1:25" x14ac:dyDescent="0.25">
      <c r="A27" t="s">
        <v>150</v>
      </c>
      <c r="B27" t="s">
        <v>151</v>
      </c>
      <c r="C27" s="24">
        <v>44924</v>
      </c>
      <c r="D27" s="14">
        <v>149900</v>
      </c>
      <c r="E27" t="s">
        <v>27</v>
      </c>
      <c r="F27" t="s">
        <v>28</v>
      </c>
      <c r="G27" s="14">
        <v>149900</v>
      </c>
      <c r="H27" s="14">
        <v>77500</v>
      </c>
      <c r="I27" s="19">
        <f t="shared" si="0"/>
        <v>51.70113408939293</v>
      </c>
      <c r="J27" s="14">
        <v>155093</v>
      </c>
      <c r="K27" s="14">
        <f>G27-105043</f>
        <v>44857</v>
      </c>
      <c r="L27" s="14">
        <v>50050</v>
      </c>
      <c r="M27" s="29">
        <v>0</v>
      </c>
      <c r="N27" s="33">
        <v>0</v>
      </c>
      <c r="O27" s="38">
        <v>1.22</v>
      </c>
      <c r="P27" s="38">
        <v>1.22</v>
      </c>
      <c r="Q27" s="14" t="e">
        <f t="shared" si="1"/>
        <v>#DIV/0!</v>
      </c>
      <c r="R27" s="14">
        <f t="shared" si="2"/>
        <v>36768.032786885247</v>
      </c>
      <c r="S27" s="43">
        <f t="shared" si="3"/>
        <v>0.84407788766954195</v>
      </c>
      <c r="T27" s="38">
        <v>0</v>
      </c>
      <c r="U27" s="5" t="s">
        <v>29</v>
      </c>
      <c r="V27" t="s">
        <v>152</v>
      </c>
      <c r="X27" t="s">
        <v>31</v>
      </c>
      <c r="Y27" s="6" t="s">
        <v>32</v>
      </c>
    </row>
    <row r="28" spans="1:25" x14ac:dyDescent="0.25">
      <c r="A28" t="s">
        <v>39</v>
      </c>
      <c r="B28" t="s">
        <v>40</v>
      </c>
      <c r="C28" s="24">
        <v>44482</v>
      </c>
      <c r="D28" s="14">
        <v>205000</v>
      </c>
      <c r="E28" t="s">
        <v>27</v>
      </c>
      <c r="F28" t="s">
        <v>42</v>
      </c>
      <c r="G28" s="14">
        <v>205000</v>
      </c>
      <c r="H28" s="14">
        <v>80800</v>
      </c>
      <c r="I28" s="19">
        <f t="shared" si="0"/>
        <v>39.414634146341463</v>
      </c>
      <c r="J28" s="14">
        <v>191501</v>
      </c>
      <c r="K28" s="14">
        <f>G28-98501</f>
        <v>106499</v>
      </c>
      <c r="L28" s="14">
        <v>63000</v>
      </c>
      <c r="M28" s="29">
        <v>0</v>
      </c>
      <c r="N28" s="33">
        <v>0</v>
      </c>
      <c r="O28" s="38">
        <v>1.26</v>
      </c>
      <c r="P28" s="38">
        <v>0.75</v>
      </c>
      <c r="Q28" s="14" t="e">
        <f t="shared" si="1"/>
        <v>#DIV/0!</v>
      </c>
      <c r="R28" s="14">
        <f t="shared" si="2"/>
        <v>84523.015873015873</v>
      </c>
      <c r="S28" s="43">
        <f t="shared" si="3"/>
        <v>1.9403814479572055</v>
      </c>
      <c r="T28" s="38">
        <v>0</v>
      </c>
      <c r="U28" s="5" t="s">
        <v>29</v>
      </c>
      <c r="V28" t="s">
        <v>41</v>
      </c>
      <c r="W28" t="s">
        <v>43</v>
      </c>
      <c r="X28" t="s">
        <v>31</v>
      </c>
      <c r="Y28" s="6" t="s">
        <v>32</v>
      </c>
    </row>
    <row r="29" spans="1:25" x14ac:dyDescent="0.25">
      <c r="A29" t="s">
        <v>117</v>
      </c>
      <c r="B29" t="s">
        <v>118</v>
      </c>
      <c r="C29" s="24">
        <v>44911</v>
      </c>
      <c r="D29" s="14">
        <v>260000</v>
      </c>
      <c r="E29" t="s">
        <v>27</v>
      </c>
      <c r="F29" t="s">
        <v>28</v>
      </c>
      <c r="G29" s="14">
        <v>260000</v>
      </c>
      <c r="H29" s="14">
        <v>95900</v>
      </c>
      <c r="I29" s="19">
        <f t="shared" si="0"/>
        <v>36.88461538461538</v>
      </c>
      <c r="J29" s="14">
        <v>191772</v>
      </c>
      <c r="K29" s="14">
        <f>G29-138972</f>
        <v>121028</v>
      </c>
      <c r="L29" s="14">
        <v>52800</v>
      </c>
      <c r="M29" s="29">
        <v>0</v>
      </c>
      <c r="N29" s="33">
        <v>0</v>
      </c>
      <c r="O29" s="38">
        <v>1.32</v>
      </c>
      <c r="P29" s="38">
        <v>1.32</v>
      </c>
      <c r="Q29" s="14" t="e">
        <f t="shared" si="1"/>
        <v>#DIV/0!</v>
      </c>
      <c r="R29" s="14">
        <f t="shared" si="2"/>
        <v>91687.878787878784</v>
      </c>
      <c r="S29" s="43">
        <f t="shared" si="3"/>
        <v>2.1048640676739852</v>
      </c>
      <c r="T29" s="38">
        <v>0</v>
      </c>
      <c r="U29" s="5" t="s">
        <v>29</v>
      </c>
      <c r="V29" t="s">
        <v>119</v>
      </c>
      <c r="X29" t="s">
        <v>31</v>
      </c>
      <c r="Y29" s="6" t="s">
        <v>32</v>
      </c>
    </row>
    <row r="30" spans="1:25" x14ac:dyDescent="0.25">
      <c r="A30" t="s">
        <v>69</v>
      </c>
      <c r="B30" t="s">
        <v>70</v>
      </c>
      <c r="C30" s="24">
        <v>44530</v>
      </c>
      <c r="D30" s="14">
        <v>355000</v>
      </c>
      <c r="E30" t="s">
        <v>27</v>
      </c>
      <c r="F30" t="s">
        <v>28</v>
      </c>
      <c r="G30" s="14">
        <v>355000</v>
      </c>
      <c r="H30" s="14">
        <v>194000</v>
      </c>
      <c r="I30" s="19">
        <f t="shared" si="0"/>
        <v>54.647887323943664</v>
      </c>
      <c r="J30" s="14">
        <v>388028</v>
      </c>
      <c r="K30" s="14">
        <f>G30-334953</f>
        <v>20047</v>
      </c>
      <c r="L30" s="14">
        <v>53075</v>
      </c>
      <c r="M30" s="29">
        <v>0</v>
      </c>
      <c r="N30" s="33">
        <v>0</v>
      </c>
      <c r="O30" s="38">
        <v>1.33</v>
      </c>
      <c r="P30" s="38">
        <v>1.33</v>
      </c>
      <c r="Q30" s="14" t="e">
        <f t="shared" si="1"/>
        <v>#DIV/0!</v>
      </c>
      <c r="R30" s="14">
        <f t="shared" si="2"/>
        <v>15072.932330827067</v>
      </c>
      <c r="S30" s="43">
        <f t="shared" si="3"/>
        <v>0.34602691301255895</v>
      </c>
      <c r="T30" s="38">
        <v>0</v>
      </c>
      <c r="U30" s="5" t="s">
        <v>29</v>
      </c>
      <c r="V30" t="s">
        <v>71</v>
      </c>
      <c r="X30" t="s">
        <v>31</v>
      </c>
      <c r="Y30" s="6" t="s">
        <v>32</v>
      </c>
    </row>
    <row r="31" spans="1:25" x14ac:dyDescent="0.25">
      <c r="A31" t="s">
        <v>342</v>
      </c>
      <c r="B31" t="s">
        <v>343</v>
      </c>
      <c r="C31" s="24">
        <v>44358</v>
      </c>
      <c r="D31" s="14">
        <v>260000</v>
      </c>
      <c r="E31" t="s">
        <v>27</v>
      </c>
      <c r="F31" t="s">
        <v>28</v>
      </c>
      <c r="G31" s="14">
        <v>260000</v>
      </c>
      <c r="H31" s="14">
        <v>106200</v>
      </c>
      <c r="I31" s="19">
        <f t="shared" si="0"/>
        <v>40.846153846153847</v>
      </c>
      <c r="J31" s="14">
        <v>212321</v>
      </c>
      <c r="K31" s="14">
        <f>G31-158146</f>
        <v>101854</v>
      </c>
      <c r="L31" s="14">
        <v>54175</v>
      </c>
      <c r="M31" s="29">
        <v>0</v>
      </c>
      <c r="N31" s="33">
        <v>0</v>
      </c>
      <c r="O31" s="38">
        <v>1.37</v>
      </c>
      <c r="P31" s="38">
        <v>1.37</v>
      </c>
      <c r="Q31" s="14" t="e">
        <f t="shared" si="1"/>
        <v>#DIV/0!</v>
      </c>
      <c r="R31" s="14">
        <f t="shared" si="2"/>
        <v>74345.985401459853</v>
      </c>
      <c r="S31" s="43">
        <f t="shared" si="3"/>
        <v>1.7067489761583989</v>
      </c>
      <c r="T31" s="38">
        <v>0</v>
      </c>
      <c r="U31" s="5" t="s">
        <v>29</v>
      </c>
      <c r="V31" t="s">
        <v>344</v>
      </c>
      <c r="X31" t="s">
        <v>31</v>
      </c>
      <c r="Y31" s="6" t="s">
        <v>32</v>
      </c>
    </row>
    <row r="32" spans="1:25" x14ac:dyDescent="0.25">
      <c r="A32" t="s">
        <v>147</v>
      </c>
      <c r="B32" t="s">
        <v>148</v>
      </c>
      <c r="C32" s="24">
        <v>44519</v>
      </c>
      <c r="D32" s="14">
        <v>40000</v>
      </c>
      <c r="E32" t="s">
        <v>27</v>
      </c>
      <c r="F32" t="s">
        <v>28</v>
      </c>
      <c r="G32" s="14">
        <v>40000</v>
      </c>
      <c r="H32" s="14">
        <v>27100</v>
      </c>
      <c r="I32" s="19">
        <f t="shared" si="0"/>
        <v>67.75</v>
      </c>
      <c r="J32" s="14">
        <v>54175</v>
      </c>
      <c r="K32" s="14">
        <f>G32-0</f>
        <v>40000</v>
      </c>
      <c r="L32" s="14">
        <v>54175</v>
      </c>
      <c r="M32" s="29">
        <v>0</v>
      </c>
      <c r="N32" s="33">
        <v>0</v>
      </c>
      <c r="O32" s="38">
        <v>1.37</v>
      </c>
      <c r="P32" s="38">
        <v>1.37</v>
      </c>
      <c r="Q32" s="14" t="e">
        <f t="shared" si="1"/>
        <v>#DIV/0!</v>
      </c>
      <c r="R32" s="14">
        <f t="shared" si="2"/>
        <v>29197.0802919708</v>
      </c>
      <c r="S32" s="43">
        <f t="shared" si="3"/>
        <v>0.6702727339754545</v>
      </c>
      <c r="T32" s="38">
        <v>0</v>
      </c>
      <c r="U32" s="5" t="s">
        <v>29</v>
      </c>
      <c r="V32" t="s">
        <v>149</v>
      </c>
      <c r="X32" t="s">
        <v>31</v>
      </c>
      <c r="Y32" s="6" t="s">
        <v>113</v>
      </c>
    </row>
    <row r="33" spans="1:38" x14ac:dyDescent="0.25">
      <c r="A33" t="s">
        <v>257</v>
      </c>
      <c r="B33" t="s">
        <v>258</v>
      </c>
      <c r="C33" s="24">
        <v>44306</v>
      </c>
      <c r="D33" s="14">
        <v>174000</v>
      </c>
      <c r="E33" t="s">
        <v>27</v>
      </c>
      <c r="F33" t="s">
        <v>28</v>
      </c>
      <c r="G33" s="14">
        <v>174000</v>
      </c>
      <c r="H33" s="14">
        <v>77600</v>
      </c>
      <c r="I33" s="19">
        <f t="shared" si="0"/>
        <v>44.597701149425291</v>
      </c>
      <c r="J33" s="14">
        <v>155235</v>
      </c>
      <c r="K33" s="14">
        <f>G33-100785</f>
        <v>73215</v>
      </c>
      <c r="L33" s="14">
        <v>54450</v>
      </c>
      <c r="M33" s="29">
        <v>0</v>
      </c>
      <c r="N33" s="33">
        <v>0</v>
      </c>
      <c r="O33" s="38">
        <v>1.38</v>
      </c>
      <c r="P33" s="38">
        <v>1.38</v>
      </c>
      <c r="Q33" s="14" t="e">
        <f t="shared" si="1"/>
        <v>#DIV/0!</v>
      </c>
      <c r="R33" s="14">
        <f t="shared" si="2"/>
        <v>53054.34782608696</v>
      </c>
      <c r="S33" s="43">
        <f t="shared" si="3"/>
        <v>1.2179602347586538</v>
      </c>
      <c r="T33" s="38">
        <v>0</v>
      </c>
      <c r="U33" s="5" t="s">
        <v>29</v>
      </c>
      <c r="V33" t="s">
        <v>259</v>
      </c>
      <c r="X33" t="s">
        <v>31</v>
      </c>
      <c r="Y33" s="6" t="s">
        <v>32</v>
      </c>
    </row>
    <row r="34" spans="1:38" x14ac:dyDescent="0.25">
      <c r="A34" t="s">
        <v>51</v>
      </c>
      <c r="B34" t="s">
        <v>52</v>
      </c>
      <c r="C34" s="24">
        <v>44704</v>
      </c>
      <c r="D34" s="14">
        <v>279500</v>
      </c>
      <c r="E34" t="s">
        <v>27</v>
      </c>
      <c r="F34" t="s">
        <v>28</v>
      </c>
      <c r="G34" s="14">
        <v>279500</v>
      </c>
      <c r="H34" s="14">
        <v>116200</v>
      </c>
      <c r="I34" s="19">
        <f t="shared" si="0"/>
        <v>41.574239713774595</v>
      </c>
      <c r="J34" s="14">
        <v>232448</v>
      </c>
      <c r="K34" s="14">
        <f>G34-175248</f>
        <v>104252</v>
      </c>
      <c r="L34" s="14">
        <v>57200</v>
      </c>
      <c r="M34" s="29">
        <v>0</v>
      </c>
      <c r="N34" s="33">
        <v>0</v>
      </c>
      <c r="O34" s="38">
        <v>1.48</v>
      </c>
      <c r="P34" s="38">
        <v>1.48</v>
      </c>
      <c r="Q34" s="14" t="e">
        <f t="shared" si="1"/>
        <v>#DIV/0!</v>
      </c>
      <c r="R34" s="14">
        <f t="shared" si="2"/>
        <v>70440.540540540547</v>
      </c>
      <c r="S34" s="43">
        <f t="shared" si="3"/>
        <v>1.6170922989104808</v>
      </c>
      <c r="T34" s="38">
        <v>0</v>
      </c>
      <c r="U34" s="5" t="s">
        <v>29</v>
      </c>
      <c r="V34" t="s">
        <v>53</v>
      </c>
      <c r="X34" t="s">
        <v>31</v>
      </c>
      <c r="Y34" s="6" t="s">
        <v>32</v>
      </c>
    </row>
    <row r="35" spans="1:38" x14ac:dyDescent="0.25">
      <c r="A35" t="s">
        <v>326</v>
      </c>
      <c r="B35" t="s">
        <v>327</v>
      </c>
      <c r="C35" s="24">
        <v>44620</v>
      </c>
      <c r="D35" s="14">
        <v>430000</v>
      </c>
      <c r="E35" t="s">
        <v>27</v>
      </c>
      <c r="F35" t="s">
        <v>28</v>
      </c>
      <c r="G35" s="14">
        <v>430000</v>
      </c>
      <c r="H35" s="14">
        <v>116300</v>
      </c>
      <c r="I35" s="19">
        <f t="shared" ref="I35:I66" si="4">H35/G35*100</f>
        <v>27.046511627906977</v>
      </c>
      <c r="J35" s="14">
        <v>232512</v>
      </c>
      <c r="K35" s="14">
        <f>G35-174762</f>
        <v>255238</v>
      </c>
      <c r="L35" s="14">
        <v>57750</v>
      </c>
      <c r="M35" s="29">
        <v>0</v>
      </c>
      <c r="N35" s="33">
        <v>0</v>
      </c>
      <c r="O35" s="38">
        <v>1.5</v>
      </c>
      <c r="P35" s="38">
        <v>1.5</v>
      </c>
      <c r="Q35" s="14" t="e">
        <f t="shared" ref="Q35:Q66" si="5">K35/M35</f>
        <v>#DIV/0!</v>
      </c>
      <c r="R35" s="14">
        <f t="shared" ref="R35:R66" si="6">K35/O35</f>
        <v>170158.66666666666</v>
      </c>
      <c r="S35" s="43">
        <f t="shared" ref="S35:S66" si="7">K35/O35/43560</f>
        <v>3.9063054790327514</v>
      </c>
      <c r="T35" s="38">
        <v>0</v>
      </c>
      <c r="U35" s="5" t="s">
        <v>29</v>
      </c>
      <c r="V35" t="s">
        <v>328</v>
      </c>
      <c r="X35" t="s">
        <v>31</v>
      </c>
      <c r="Y35" s="6" t="s">
        <v>32</v>
      </c>
    </row>
    <row r="36" spans="1:38" x14ac:dyDescent="0.25">
      <c r="A36" t="s">
        <v>120</v>
      </c>
      <c r="B36" t="s">
        <v>121</v>
      </c>
      <c r="C36" s="24">
        <v>44371</v>
      </c>
      <c r="D36" s="14">
        <v>220000</v>
      </c>
      <c r="E36" t="s">
        <v>27</v>
      </c>
      <c r="F36" t="s">
        <v>28</v>
      </c>
      <c r="G36" s="14">
        <v>220000</v>
      </c>
      <c r="H36" s="14">
        <v>84000</v>
      </c>
      <c r="I36" s="19">
        <f t="shared" si="4"/>
        <v>38.181818181818187</v>
      </c>
      <c r="J36" s="14">
        <v>167985</v>
      </c>
      <c r="K36" s="14">
        <f>G36-110235</f>
        <v>109765</v>
      </c>
      <c r="L36" s="14">
        <v>57750</v>
      </c>
      <c r="M36" s="29">
        <v>0</v>
      </c>
      <c r="N36" s="33">
        <v>0</v>
      </c>
      <c r="O36" s="38">
        <v>1.5</v>
      </c>
      <c r="P36" s="38">
        <v>1.5</v>
      </c>
      <c r="Q36" s="14" t="e">
        <f t="shared" si="5"/>
        <v>#DIV/0!</v>
      </c>
      <c r="R36" s="14">
        <f t="shared" si="6"/>
        <v>73176.666666666672</v>
      </c>
      <c r="S36" s="43">
        <f t="shared" si="7"/>
        <v>1.6799051117232937</v>
      </c>
      <c r="T36" s="38">
        <v>0</v>
      </c>
      <c r="U36" s="5" t="s">
        <v>29</v>
      </c>
      <c r="V36" t="s">
        <v>122</v>
      </c>
      <c r="X36" t="s">
        <v>31</v>
      </c>
      <c r="Y36" s="6" t="s">
        <v>32</v>
      </c>
    </row>
    <row r="37" spans="1:38" x14ac:dyDescent="0.25">
      <c r="A37" t="s">
        <v>248</v>
      </c>
      <c r="B37" t="s">
        <v>249</v>
      </c>
      <c r="C37" s="24">
        <v>44426</v>
      </c>
      <c r="D37" s="14">
        <v>333000</v>
      </c>
      <c r="E37" t="s">
        <v>27</v>
      </c>
      <c r="F37" t="s">
        <v>28</v>
      </c>
      <c r="G37" s="14">
        <v>333000</v>
      </c>
      <c r="H37" s="14">
        <v>173700</v>
      </c>
      <c r="I37" s="19">
        <f t="shared" si="4"/>
        <v>52.162162162162161</v>
      </c>
      <c r="J37" s="14">
        <v>347449</v>
      </c>
      <c r="K37" s="14">
        <f>G37-289699</f>
        <v>43301</v>
      </c>
      <c r="L37" s="14">
        <v>57750</v>
      </c>
      <c r="M37" s="29">
        <v>0</v>
      </c>
      <c r="N37" s="33">
        <v>0</v>
      </c>
      <c r="O37" s="38">
        <v>1.5</v>
      </c>
      <c r="P37" s="38">
        <v>1.5</v>
      </c>
      <c r="Q37" s="14" t="e">
        <f t="shared" si="5"/>
        <v>#DIV/0!</v>
      </c>
      <c r="R37" s="14">
        <f t="shared" si="6"/>
        <v>28867.333333333332</v>
      </c>
      <c r="S37" s="43">
        <f t="shared" si="7"/>
        <v>0.66270278543005812</v>
      </c>
      <c r="T37" s="38">
        <v>0</v>
      </c>
      <c r="U37" s="5" t="s">
        <v>29</v>
      </c>
      <c r="V37" t="s">
        <v>250</v>
      </c>
      <c r="X37" t="s">
        <v>31</v>
      </c>
      <c r="Y37" s="6" t="s">
        <v>32</v>
      </c>
    </row>
    <row r="38" spans="1:38" x14ac:dyDescent="0.25">
      <c r="A38" t="s">
        <v>79</v>
      </c>
      <c r="B38" t="s">
        <v>80</v>
      </c>
      <c r="C38" s="24">
        <v>44560</v>
      </c>
      <c r="D38" s="14">
        <v>185000</v>
      </c>
      <c r="E38" t="s">
        <v>27</v>
      </c>
      <c r="F38" t="s">
        <v>28</v>
      </c>
      <c r="G38" s="14">
        <v>185000</v>
      </c>
      <c r="H38" s="14">
        <v>99000</v>
      </c>
      <c r="I38" s="19">
        <f t="shared" si="4"/>
        <v>53.513513513513509</v>
      </c>
      <c r="J38" s="14">
        <v>198030</v>
      </c>
      <c r="K38" s="14">
        <f>G38-136815</f>
        <v>48185</v>
      </c>
      <c r="L38" s="14">
        <v>61215</v>
      </c>
      <c r="M38" s="29">
        <v>0</v>
      </c>
      <c r="N38" s="33">
        <v>0</v>
      </c>
      <c r="O38" s="38">
        <v>1.71</v>
      </c>
      <c r="P38" s="38">
        <v>1.71</v>
      </c>
      <c r="Q38" s="14" t="e">
        <f t="shared" si="5"/>
        <v>#DIV/0!</v>
      </c>
      <c r="R38" s="14">
        <f t="shared" si="6"/>
        <v>28178.362573099417</v>
      </c>
      <c r="S38" s="43">
        <f t="shared" si="7"/>
        <v>0.64688619313818685</v>
      </c>
      <c r="T38" s="38">
        <v>0</v>
      </c>
      <c r="U38" s="5" t="s">
        <v>29</v>
      </c>
      <c r="V38" t="s">
        <v>81</v>
      </c>
      <c r="X38" t="s">
        <v>31</v>
      </c>
      <c r="Y38" s="6" t="s">
        <v>32</v>
      </c>
    </row>
    <row r="39" spans="1:38" x14ac:dyDescent="0.25">
      <c r="A39" t="s">
        <v>311</v>
      </c>
      <c r="B39" t="s">
        <v>312</v>
      </c>
      <c r="C39" s="24">
        <v>45014</v>
      </c>
      <c r="D39" s="14">
        <v>208500</v>
      </c>
      <c r="E39" t="s">
        <v>27</v>
      </c>
      <c r="F39" t="s">
        <v>28</v>
      </c>
      <c r="G39" s="14">
        <v>208500</v>
      </c>
      <c r="H39" s="14">
        <v>65600</v>
      </c>
      <c r="I39" s="19">
        <f t="shared" si="4"/>
        <v>31.462829736211027</v>
      </c>
      <c r="J39" s="14">
        <v>131253</v>
      </c>
      <c r="K39" s="14">
        <f>G39-69873</f>
        <v>138627</v>
      </c>
      <c r="L39" s="14">
        <v>61380</v>
      </c>
      <c r="M39" s="29">
        <v>0</v>
      </c>
      <c r="N39" s="33">
        <v>0</v>
      </c>
      <c r="O39" s="38">
        <v>1.72</v>
      </c>
      <c r="P39" s="38">
        <v>1.72</v>
      </c>
      <c r="Q39" s="14" t="e">
        <f t="shared" si="5"/>
        <v>#DIV/0!</v>
      </c>
      <c r="R39" s="14">
        <f t="shared" si="6"/>
        <v>80597.093023255817</v>
      </c>
      <c r="S39" s="43">
        <f t="shared" si="7"/>
        <v>1.8502546607726313</v>
      </c>
      <c r="T39" s="38">
        <v>0</v>
      </c>
      <c r="U39" s="5" t="s">
        <v>29</v>
      </c>
      <c r="V39" t="s">
        <v>313</v>
      </c>
      <c r="X39" t="s">
        <v>31</v>
      </c>
      <c r="Y39" s="6" t="s">
        <v>32</v>
      </c>
    </row>
    <row r="40" spans="1:38" x14ac:dyDescent="0.25">
      <c r="A40" t="s">
        <v>107</v>
      </c>
      <c r="B40" t="s">
        <v>108</v>
      </c>
      <c r="C40" s="24">
        <v>44764</v>
      </c>
      <c r="D40" s="14">
        <v>182500</v>
      </c>
      <c r="E40" t="s">
        <v>27</v>
      </c>
      <c r="F40" t="s">
        <v>28</v>
      </c>
      <c r="G40" s="14">
        <v>182500</v>
      </c>
      <c r="H40" s="14">
        <v>89000</v>
      </c>
      <c r="I40" s="19">
        <f t="shared" si="4"/>
        <v>48.767123287671232</v>
      </c>
      <c r="J40" s="14">
        <v>178015</v>
      </c>
      <c r="K40" s="14">
        <f>G40-115975</f>
        <v>66525</v>
      </c>
      <c r="L40" s="14">
        <v>62040</v>
      </c>
      <c r="M40" s="29">
        <v>0</v>
      </c>
      <c r="N40" s="33">
        <v>0</v>
      </c>
      <c r="O40" s="38">
        <v>1.76</v>
      </c>
      <c r="P40" s="38">
        <v>1.76</v>
      </c>
      <c r="Q40" s="14" t="e">
        <f t="shared" si="5"/>
        <v>#DIV/0!</v>
      </c>
      <c r="R40" s="14">
        <f t="shared" si="6"/>
        <v>37798.295454545456</v>
      </c>
      <c r="S40" s="43">
        <f t="shared" si="7"/>
        <v>0.86772946406210871</v>
      </c>
      <c r="T40" s="38">
        <v>0</v>
      </c>
      <c r="U40" s="5" t="s">
        <v>29</v>
      </c>
      <c r="V40" t="s">
        <v>109</v>
      </c>
      <c r="X40" t="s">
        <v>31</v>
      </c>
      <c r="Y40" s="6" t="s">
        <v>32</v>
      </c>
    </row>
    <row r="41" spans="1:38" x14ac:dyDescent="0.25">
      <c r="A41" t="s">
        <v>195</v>
      </c>
      <c r="B41" t="s">
        <v>196</v>
      </c>
      <c r="C41" s="24">
        <v>44755</v>
      </c>
      <c r="D41" s="14">
        <v>325000</v>
      </c>
      <c r="E41" t="s">
        <v>27</v>
      </c>
      <c r="F41" t="s">
        <v>28</v>
      </c>
      <c r="G41" s="14">
        <v>325000</v>
      </c>
      <c r="H41" s="14">
        <v>145900</v>
      </c>
      <c r="I41" s="19">
        <f t="shared" si="4"/>
        <v>44.892307692307689</v>
      </c>
      <c r="J41" s="14">
        <v>291707</v>
      </c>
      <c r="K41" s="14">
        <f>G41-228677</f>
        <v>96323</v>
      </c>
      <c r="L41" s="14">
        <v>63030</v>
      </c>
      <c r="M41" s="29">
        <v>0</v>
      </c>
      <c r="N41" s="33">
        <v>0</v>
      </c>
      <c r="O41" s="38">
        <v>1.82</v>
      </c>
      <c r="P41" s="38">
        <v>1.82</v>
      </c>
      <c r="Q41" s="14" t="e">
        <f t="shared" si="5"/>
        <v>#DIV/0!</v>
      </c>
      <c r="R41" s="14">
        <f t="shared" si="6"/>
        <v>52924.725274725271</v>
      </c>
      <c r="S41" s="43">
        <f t="shared" si="7"/>
        <v>1.2149845104390558</v>
      </c>
      <c r="T41" s="38">
        <v>0</v>
      </c>
      <c r="U41" s="5" t="s">
        <v>29</v>
      </c>
      <c r="V41" t="s">
        <v>197</v>
      </c>
      <c r="X41" t="s">
        <v>31</v>
      </c>
      <c r="Y41" s="6" t="s">
        <v>32</v>
      </c>
    </row>
    <row r="42" spans="1:38" x14ac:dyDescent="0.25">
      <c r="A42" t="s">
        <v>126</v>
      </c>
      <c r="B42" t="s">
        <v>127</v>
      </c>
      <c r="C42" s="24">
        <v>44362</v>
      </c>
      <c r="D42" s="14">
        <v>183000</v>
      </c>
      <c r="E42" t="s">
        <v>27</v>
      </c>
      <c r="F42" t="s">
        <v>28</v>
      </c>
      <c r="G42" s="14">
        <v>183000</v>
      </c>
      <c r="H42" s="14">
        <v>94600</v>
      </c>
      <c r="I42" s="19">
        <f t="shared" si="4"/>
        <v>51.693989071038246</v>
      </c>
      <c r="J42" s="14">
        <v>189277</v>
      </c>
      <c r="K42" s="14">
        <f>G42-126247</f>
        <v>56753</v>
      </c>
      <c r="L42" s="14">
        <v>63030</v>
      </c>
      <c r="M42" s="29">
        <v>0</v>
      </c>
      <c r="N42" s="33">
        <v>0</v>
      </c>
      <c r="O42" s="38">
        <v>1.82</v>
      </c>
      <c r="P42" s="38">
        <v>1.82</v>
      </c>
      <c r="Q42" s="14" t="e">
        <f t="shared" si="5"/>
        <v>#DIV/0!</v>
      </c>
      <c r="R42" s="14">
        <f t="shared" si="6"/>
        <v>31182.967032967033</v>
      </c>
      <c r="S42" s="43">
        <f t="shared" si="7"/>
        <v>0.71586242040787496</v>
      </c>
      <c r="T42" s="38">
        <v>0</v>
      </c>
      <c r="U42" s="5" t="s">
        <v>29</v>
      </c>
      <c r="V42" t="s">
        <v>128</v>
      </c>
      <c r="X42" t="s">
        <v>31</v>
      </c>
      <c r="Y42" s="6" t="s">
        <v>32</v>
      </c>
    </row>
    <row r="43" spans="1:38" x14ac:dyDescent="0.25">
      <c r="A43" t="s">
        <v>48</v>
      </c>
      <c r="B43" t="s">
        <v>49</v>
      </c>
      <c r="C43" s="24">
        <v>44911</v>
      </c>
      <c r="D43" s="14">
        <v>345000</v>
      </c>
      <c r="E43" t="s">
        <v>27</v>
      </c>
      <c r="F43" t="s">
        <v>28</v>
      </c>
      <c r="G43" s="14">
        <v>345000</v>
      </c>
      <c r="H43" s="14">
        <v>200100</v>
      </c>
      <c r="I43" s="19">
        <f t="shared" si="4"/>
        <v>57.999999999999993</v>
      </c>
      <c r="J43" s="14">
        <v>400256</v>
      </c>
      <c r="K43" s="14">
        <f>G43-337061</f>
        <v>7939</v>
      </c>
      <c r="L43" s="14">
        <v>63195</v>
      </c>
      <c r="M43" s="29">
        <v>0</v>
      </c>
      <c r="N43" s="33">
        <v>0</v>
      </c>
      <c r="O43" s="38">
        <v>1.83</v>
      </c>
      <c r="P43" s="38">
        <v>1.83</v>
      </c>
      <c r="Q43" s="14" t="e">
        <f t="shared" si="5"/>
        <v>#DIV/0!</v>
      </c>
      <c r="R43" s="14">
        <f t="shared" si="6"/>
        <v>4338.2513661202183</v>
      </c>
      <c r="S43" s="43">
        <f t="shared" si="7"/>
        <v>9.9592547431593625E-2</v>
      </c>
      <c r="T43" s="38">
        <v>0</v>
      </c>
      <c r="U43" s="5" t="s">
        <v>29</v>
      </c>
      <c r="V43" t="s">
        <v>50</v>
      </c>
      <c r="X43" t="s">
        <v>31</v>
      </c>
      <c r="Y43" s="6" t="s">
        <v>32</v>
      </c>
    </row>
    <row r="44" spans="1:38" x14ac:dyDescent="0.25">
      <c r="A44" t="s">
        <v>153</v>
      </c>
      <c r="B44" t="s">
        <v>154</v>
      </c>
      <c r="C44" s="24">
        <v>44859</v>
      </c>
      <c r="D44" s="14">
        <v>45000</v>
      </c>
      <c r="E44" t="s">
        <v>27</v>
      </c>
      <c r="F44" t="s">
        <v>28</v>
      </c>
      <c r="G44" s="14">
        <v>45000</v>
      </c>
      <c r="H44" s="14">
        <v>32100</v>
      </c>
      <c r="I44" s="19">
        <f t="shared" si="4"/>
        <v>71.333333333333343</v>
      </c>
      <c r="J44" s="14">
        <v>64185</v>
      </c>
      <c r="K44" s="14">
        <f>G44-0</f>
        <v>45000</v>
      </c>
      <c r="L44" s="14">
        <v>64185</v>
      </c>
      <c r="M44" s="29">
        <v>0</v>
      </c>
      <c r="N44" s="33">
        <v>0</v>
      </c>
      <c r="O44" s="38">
        <v>1.89</v>
      </c>
      <c r="P44" s="38">
        <v>1.89</v>
      </c>
      <c r="Q44" s="14" t="e">
        <f t="shared" si="5"/>
        <v>#DIV/0!</v>
      </c>
      <c r="R44" s="14">
        <f t="shared" si="6"/>
        <v>23809.523809523809</v>
      </c>
      <c r="S44" s="43">
        <f t="shared" si="7"/>
        <v>0.54659145568236478</v>
      </c>
      <c r="T44" s="38">
        <v>0</v>
      </c>
      <c r="U44" s="5" t="s">
        <v>29</v>
      </c>
      <c r="V44" t="s">
        <v>155</v>
      </c>
      <c r="X44" t="s">
        <v>31</v>
      </c>
      <c r="Y44" s="6" t="s">
        <v>113</v>
      </c>
    </row>
    <row r="45" spans="1:38" x14ac:dyDescent="0.25">
      <c r="A45" t="s">
        <v>104</v>
      </c>
      <c r="B45" t="s">
        <v>105</v>
      </c>
      <c r="C45" s="24">
        <v>44287</v>
      </c>
      <c r="D45" s="14">
        <v>304900</v>
      </c>
      <c r="E45" t="s">
        <v>27</v>
      </c>
      <c r="F45" t="s">
        <v>28</v>
      </c>
      <c r="G45" s="14">
        <v>304900</v>
      </c>
      <c r="H45" s="14">
        <v>181800</v>
      </c>
      <c r="I45" s="19">
        <f t="shared" si="4"/>
        <v>59.626106920301737</v>
      </c>
      <c r="J45" s="14">
        <v>363640</v>
      </c>
      <c r="K45" s="14">
        <f>G45-297805</f>
        <v>7095</v>
      </c>
      <c r="L45" s="14">
        <v>65835</v>
      </c>
      <c r="M45" s="29">
        <v>0</v>
      </c>
      <c r="N45" s="33">
        <v>0</v>
      </c>
      <c r="O45" s="38">
        <v>1.99</v>
      </c>
      <c r="P45" s="38">
        <v>1.99</v>
      </c>
      <c r="Q45" s="14" t="e">
        <f t="shared" si="5"/>
        <v>#DIV/0!</v>
      </c>
      <c r="R45" s="14">
        <f t="shared" si="6"/>
        <v>3565.3266331658292</v>
      </c>
      <c r="S45" s="43">
        <f t="shared" si="7"/>
        <v>8.1848637125019039E-2</v>
      </c>
      <c r="T45" s="38">
        <v>0</v>
      </c>
      <c r="U45" s="5" t="s">
        <v>29</v>
      </c>
      <c r="V45" t="s">
        <v>106</v>
      </c>
      <c r="X45" t="s">
        <v>31</v>
      </c>
      <c r="Y45" s="6" t="s">
        <v>32</v>
      </c>
    </row>
    <row r="46" spans="1:38" x14ac:dyDescent="0.25">
      <c r="A46" t="s">
        <v>75</v>
      </c>
      <c r="B46" t="s">
        <v>76</v>
      </c>
      <c r="C46" s="24">
        <v>44288</v>
      </c>
      <c r="D46" s="14">
        <v>203000</v>
      </c>
      <c r="E46" t="s">
        <v>27</v>
      </c>
      <c r="F46" t="s">
        <v>42</v>
      </c>
      <c r="G46" s="14">
        <v>203000</v>
      </c>
      <c r="H46" s="14">
        <v>74900</v>
      </c>
      <c r="I46" s="19">
        <f t="shared" si="4"/>
        <v>36.896551724137936</v>
      </c>
      <c r="J46" s="14">
        <v>171704</v>
      </c>
      <c r="K46" s="14">
        <f>G46-83704</f>
        <v>119296</v>
      </c>
      <c r="L46" s="14">
        <v>66000</v>
      </c>
      <c r="M46" s="29">
        <v>0</v>
      </c>
      <c r="N46" s="33">
        <v>0</v>
      </c>
      <c r="O46" s="38">
        <v>2</v>
      </c>
      <c r="P46" s="38">
        <v>1</v>
      </c>
      <c r="Q46" s="14" t="e">
        <f t="shared" si="5"/>
        <v>#DIV/0!</v>
      </c>
      <c r="R46" s="14">
        <f t="shared" si="6"/>
        <v>59648</v>
      </c>
      <c r="S46" s="43">
        <f t="shared" si="7"/>
        <v>1.3693296602387512</v>
      </c>
      <c r="T46" s="38">
        <v>0</v>
      </c>
      <c r="U46" s="5" t="s">
        <v>29</v>
      </c>
      <c r="V46" t="s">
        <v>77</v>
      </c>
      <c r="W46" t="s">
        <v>78</v>
      </c>
      <c r="X46" t="s">
        <v>31</v>
      </c>
      <c r="Y46" s="6" t="s">
        <v>32</v>
      </c>
    </row>
    <row r="47" spans="1:38" x14ac:dyDescent="0.25">
      <c r="A47" t="s">
        <v>135</v>
      </c>
      <c r="B47" t="s">
        <v>136</v>
      </c>
      <c r="C47" s="24">
        <v>44690</v>
      </c>
      <c r="D47" s="14">
        <v>300000</v>
      </c>
      <c r="E47" t="s">
        <v>27</v>
      </c>
      <c r="F47" t="s">
        <v>28</v>
      </c>
      <c r="G47" s="14">
        <v>300000</v>
      </c>
      <c r="H47" s="14">
        <v>116300</v>
      </c>
      <c r="I47" s="19">
        <f t="shared" si="4"/>
        <v>38.766666666666666</v>
      </c>
      <c r="J47" s="14">
        <v>232684</v>
      </c>
      <c r="K47" s="14">
        <f>G47-166684</f>
        <v>133316</v>
      </c>
      <c r="L47" s="14">
        <v>66000</v>
      </c>
      <c r="M47" s="29">
        <v>0</v>
      </c>
      <c r="N47" s="33">
        <v>0</v>
      </c>
      <c r="O47" s="38">
        <v>2</v>
      </c>
      <c r="P47" s="38">
        <v>2</v>
      </c>
      <c r="Q47" s="14" t="e">
        <f t="shared" si="5"/>
        <v>#DIV/0!</v>
      </c>
      <c r="R47" s="14">
        <f t="shared" si="6"/>
        <v>66658</v>
      </c>
      <c r="S47" s="43">
        <f t="shared" si="7"/>
        <v>1.530257116620753</v>
      </c>
      <c r="T47" s="38">
        <v>0</v>
      </c>
      <c r="U47" s="5" t="s">
        <v>29</v>
      </c>
      <c r="V47" t="s">
        <v>137</v>
      </c>
      <c r="X47" t="s">
        <v>31</v>
      </c>
      <c r="Y47" s="6" t="s">
        <v>32</v>
      </c>
    </row>
    <row r="48" spans="1:38" x14ac:dyDescent="0.25">
      <c r="A48" t="s">
        <v>25</v>
      </c>
      <c r="B48" t="s">
        <v>26</v>
      </c>
      <c r="C48" s="24">
        <v>45076</v>
      </c>
      <c r="D48" s="14">
        <v>265000</v>
      </c>
      <c r="E48" t="s">
        <v>27</v>
      </c>
      <c r="F48" t="s">
        <v>28</v>
      </c>
      <c r="G48" s="14">
        <v>265000</v>
      </c>
      <c r="H48" s="14">
        <v>114700</v>
      </c>
      <c r="I48" s="19">
        <f t="shared" si="4"/>
        <v>43.283018867924525</v>
      </c>
      <c r="J48" s="14">
        <v>229301</v>
      </c>
      <c r="K48" s="14">
        <f>G48-163301</f>
        <v>101699</v>
      </c>
      <c r="L48" s="14">
        <v>66000</v>
      </c>
      <c r="M48" s="29">
        <v>0</v>
      </c>
      <c r="N48" s="33">
        <v>0</v>
      </c>
      <c r="O48" s="38">
        <v>2</v>
      </c>
      <c r="P48" s="38">
        <v>2</v>
      </c>
      <c r="Q48" s="14" t="e">
        <f t="shared" si="5"/>
        <v>#DIV/0!</v>
      </c>
      <c r="R48" s="14">
        <f t="shared" si="6"/>
        <v>50849.5</v>
      </c>
      <c r="S48" s="43">
        <f t="shared" si="7"/>
        <v>1.1673438934802571</v>
      </c>
      <c r="T48" s="38">
        <v>0</v>
      </c>
      <c r="U48" s="5" t="s">
        <v>29</v>
      </c>
      <c r="V48" t="s">
        <v>30</v>
      </c>
      <c r="X48" t="s">
        <v>31</v>
      </c>
      <c r="Y48" s="6" t="s">
        <v>32</v>
      </c>
      <c r="AJ48" s="2"/>
      <c r="AL48" s="2"/>
    </row>
    <row r="49" spans="1:25" x14ac:dyDescent="0.25">
      <c r="A49" t="s">
        <v>171</v>
      </c>
      <c r="B49" t="s">
        <v>172</v>
      </c>
      <c r="C49" s="24">
        <v>45016</v>
      </c>
      <c r="D49" s="14">
        <v>299900</v>
      </c>
      <c r="E49" t="s">
        <v>27</v>
      </c>
      <c r="F49" t="s">
        <v>28</v>
      </c>
      <c r="G49" s="14">
        <v>299900</v>
      </c>
      <c r="H49" s="14">
        <v>135600</v>
      </c>
      <c r="I49" s="19">
        <f t="shared" si="4"/>
        <v>45.215071690563519</v>
      </c>
      <c r="J49" s="14">
        <v>271209</v>
      </c>
      <c r="K49" s="14">
        <f>G49-205209</f>
        <v>94691</v>
      </c>
      <c r="L49" s="14">
        <v>66000</v>
      </c>
      <c r="M49" s="29">
        <v>0</v>
      </c>
      <c r="N49" s="33">
        <v>0</v>
      </c>
      <c r="O49" s="38">
        <v>2</v>
      </c>
      <c r="P49" s="38">
        <v>2</v>
      </c>
      <c r="Q49" s="14" t="e">
        <f t="shared" si="5"/>
        <v>#DIV/0!</v>
      </c>
      <c r="R49" s="14">
        <f t="shared" si="6"/>
        <v>47345.5</v>
      </c>
      <c r="S49" s="43">
        <f t="shared" si="7"/>
        <v>1.0869031221303949</v>
      </c>
      <c r="T49" s="38">
        <v>0</v>
      </c>
      <c r="U49" s="5" t="s">
        <v>29</v>
      </c>
      <c r="V49" t="s">
        <v>173</v>
      </c>
      <c r="X49" t="s">
        <v>31</v>
      </c>
      <c r="Y49" s="6" t="s">
        <v>32</v>
      </c>
    </row>
    <row r="50" spans="1:25" x14ac:dyDescent="0.25">
      <c r="A50" t="s">
        <v>216</v>
      </c>
      <c r="B50" t="s">
        <v>217</v>
      </c>
      <c r="C50" s="24">
        <v>44512</v>
      </c>
      <c r="D50" s="14">
        <v>200000</v>
      </c>
      <c r="E50" t="s">
        <v>27</v>
      </c>
      <c r="F50" t="s">
        <v>28</v>
      </c>
      <c r="G50" s="14">
        <v>200000</v>
      </c>
      <c r="H50" s="14">
        <v>109900</v>
      </c>
      <c r="I50" s="19">
        <f t="shared" si="4"/>
        <v>54.949999999999996</v>
      </c>
      <c r="J50" s="14">
        <v>219731</v>
      </c>
      <c r="K50" s="14">
        <f>G50-153731</f>
        <v>46269</v>
      </c>
      <c r="L50" s="14">
        <v>66000</v>
      </c>
      <c r="M50" s="29">
        <v>0</v>
      </c>
      <c r="N50" s="33">
        <v>0</v>
      </c>
      <c r="O50" s="38">
        <v>2</v>
      </c>
      <c r="P50" s="38">
        <v>2</v>
      </c>
      <c r="Q50" s="14" t="e">
        <f t="shared" si="5"/>
        <v>#DIV/0!</v>
      </c>
      <c r="R50" s="14">
        <f t="shared" si="6"/>
        <v>23134.5</v>
      </c>
      <c r="S50" s="43">
        <f t="shared" si="7"/>
        <v>0.531095041322314</v>
      </c>
      <c r="T50" s="38">
        <v>0</v>
      </c>
      <c r="U50" s="5" t="s">
        <v>29</v>
      </c>
      <c r="V50" t="s">
        <v>218</v>
      </c>
      <c r="X50" t="s">
        <v>31</v>
      </c>
      <c r="Y50" s="6" t="s">
        <v>32</v>
      </c>
    </row>
    <row r="51" spans="1:25" x14ac:dyDescent="0.25">
      <c r="A51" t="s">
        <v>54</v>
      </c>
      <c r="B51" t="s">
        <v>55</v>
      </c>
      <c r="C51" s="24">
        <v>44862</v>
      </c>
      <c r="D51" s="14">
        <v>151000</v>
      </c>
      <c r="E51" t="s">
        <v>27</v>
      </c>
      <c r="F51" t="s">
        <v>28</v>
      </c>
      <c r="G51" s="14">
        <v>151000</v>
      </c>
      <c r="H51" s="14">
        <v>84600</v>
      </c>
      <c r="I51" s="19">
        <f t="shared" si="4"/>
        <v>56.026490066225165</v>
      </c>
      <c r="J51" s="14">
        <v>169169</v>
      </c>
      <c r="K51" s="14">
        <f>G51-103169</f>
        <v>47831</v>
      </c>
      <c r="L51" s="14">
        <v>66000</v>
      </c>
      <c r="M51" s="29">
        <v>0</v>
      </c>
      <c r="N51" s="33">
        <v>0</v>
      </c>
      <c r="O51" s="38">
        <v>2</v>
      </c>
      <c r="P51" s="38">
        <v>2</v>
      </c>
      <c r="Q51" s="14" t="e">
        <f t="shared" si="5"/>
        <v>#DIV/0!</v>
      </c>
      <c r="R51" s="14">
        <f t="shared" si="6"/>
        <v>23915.5</v>
      </c>
      <c r="S51" s="43">
        <f t="shared" si="7"/>
        <v>0.54902433425160702</v>
      </c>
      <c r="T51" s="38">
        <v>0</v>
      </c>
      <c r="U51" s="5" t="s">
        <v>29</v>
      </c>
      <c r="V51" t="s">
        <v>56</v>
      </c>
      <c r="X51" t="s">
        <v>31</v>
      </c>
      <c r="Y51" s="6" t="s">
        <v>32</v>
      </c>
    </row>
    <row r="52" spans="1:25" x14ac:dyDescent="0.25">
      <c r="A52" t="s">
        <v>284</v>
      </c>
      <c r="B52" t="s">
        <v>285</v>
      </c>
      <c r="C52" s="24">
        <v>44495</v>
      </c>
      <c r="D52" s="14">
        <v>199900</v>
      </c>
      <c r="E52" t="s">
        <v>27</v>
      </c>
      <c r="F52" t="s">
        <v>28</v>
      </c>
      <c r="G52" s="14">
        <v>199900</v>
      </c>
      <c r="H52" s="14">
        <v>96100</v>
      </c>
      <c r="I52" s="19">
        <f t="shared" si="4"/>
        <v>48.074037018509252</v>
      </c>
      <c r="J52" s="14">
        <v>192176</v>
      </c>
      <c r="K52" s="14">
        <f>G52-125936</f>
        <v>73964</v>
      </c>
      <c r="L52" s="14">
        <v>66240</v>
      </c>
      <c r="M52" s="29">
        <v>0</v>
      </c>
      <c r="N52" s="33">
        <v>0</v>
      </c>
      <c r="O52" s="38">
        <v>2.0299999999999998</v>
      </c>
      <c r="P52" s="38">
        <v>2.0299999999999998</v>
      </c>
      <c r="Q52" s="14" t="e">
        <f t="shared" si="5"/>
        <v>#DIV/0!</v>
      </c>
      <c r="R52" s="14">
        <f t="shared" si="6"/>
        <v>36435.467980295572</v>
      </c>
      <c r="S52" s="43">
        <f t="shared" si="7"/>
        <v>0.8364432502363538</v>
      </c>
      <c r="T52" s="38">
        <v>0</v>
      </c>
      <c r="U52" s="5" t="s">
        <v>29</v>
      </c>
      <c r="V52" t="s">
        <v>286</v>
      </c>
      <c r="X52" t="s">
        <v>31</v>
      </c>
      <c r="Y52" s="6" t="s">
        <v>32</v>
      </c>
    </row>
    <row r="53" spans="1:25" x14ac:dyDescent="0.25">
      <c r="A53" t="s">
        <v>156</v>
      </c>
      <c r="B53" t="s">
        <v>157</v>
      </c>
      <c r="C53" s="24">
        <v>44348</v>
      </c>
      <c r="D53" s="14">
        <v>445000</v>
      </c>
      <c r="E53" t="s">
        <v>27</v>
      </c>
      <c r="F53" t="s">
        <v>28</v>
      </c>
      <c r="G53" s="14">
        <v>445000</v>
      </c>
      <c r="H53" s="14">
        <v>217800</v>
      </c>
      <c r="I53" s="19">
        <f t="shared" si="4"/>
        <v>48.943820224719104</v>
      </c>
      <c r="J53" s="14">
        <v>435610</v>
      </c>
      <c r="K53" s="14">
        <f>G53-369130</f>
        <v>75870</v>
      </c>
      <c r="L53" s="14">
        <v>66480</v>
      </c>
      <c r="M53" s="29">
        <v>0</v>
      </c>
      <c r="N53" s="33">
        <v>0</v>
      </c>
      <c r="O53" s="38">
        <v>2.06</v>
      </c>
      <c r="P53" s="38">
        <v>2.06</v>
      </c>
      <c r="Q53" s="14" t="e">
        <f t="shared" si="5"/>
        <v>#DIV/0!</v>
      </c>
      <c r="R53" s="14">
        <f t="shared" si="6"/>
        <v>36830.097087378643</v>
      </c>
      <c r="S53" s="43">
        <f t="shared" si="7"/>
        <v>0.84550268795635086</v>
      </c>
      <c r="T53" s="38">
        <v>0</v>
      </c>
      <c r="U53" s="5" t="s">
        <v>29</v>
      </c>
      <c r="V53" t="s">
        <v>158</v>
      </c>
      <c r="X53" t="s">
        <v>31</v>
      </c>
      <c r="Y53" s="6" t="s">
        <v>32</v>
      </c>
    </row>
    <row r="54" spans="1:25" x14ac:dyDescent="0.25">
      <c r="A54" t="s">
        <v>281</v>
      </c>
      <c r="B54" t="s">
        <v>282</v>
      </c>
      <c r="C54" s="24">
        <v>44804</v>
      </c>
      <c r="D54" s="14">
        <v>349900</v>
      </c>
      <c r="E54" t="s">
        <v>27</v>
      </c>
      <c r="F54" t="s">
        <v>28</v>
      </c>
      <c r="G54" s="14">
        <v>349900</v>
      </c>
      <c r="H54" s="14">
        <v>152200</v>
      </c>
      <c r="I54" s="19">
        <f t="shared" si="4"/>
        <v>43.498142326378961</v>
      </c>
      <c r="J54" s="14">
        <v>304427</v>
      </c>
      <c r="K54" s="14">
        <f>G54-237787</f>
        <v>112113</v>
      </c>
      <c r="L54" s="14">
        <v>66640</v>
      </c>
      <c r="M54" s="29">
        <v>0</v>
      </c>
      <c r="N54" s="33">
        <v>0</v>
      </c>
      <c r="O54" s="38">
        <v>2.08</v>
      </c>
      <c r="P54" s="38">
        <v>2.08</v>
      </c>
      <c r="Q54" s="14" t="e">
        <f t="shared" si="5"/>
        <v>#DIV/0!</v>
      </c>
      <c r="R54" s="14">
        <f t="shared" si="6"/>
        <v>53900.480769230766</v>
      </c>
      <c r="S54" s="43">
        <f t="shared" si="7"/>
        <v>1.2373847743165924</v>
      </c>
      <c r="T54" s="38">
        <v>0</v>
      </c>
      <c r="U54" s="5" t="s">
        <v>29</v>
      </c>
      <c r="V54" t="s">
        <v>283</v>
      </c>
      <c r="X54" t="s">
        <v>31</v>
      </c>
      <c r="Y54" s="6" t="s">
        <v>32</v>
      </c>
    </row>
    <row r="55" spans="1:25" x14ac:dyDescent="0.25">
      <c r="A55" t="s">
        <v>239</v>
      </c>
      <c r="B55" t="s">
        <v>240</v>
      </c>
      <c r="C55" s="24">
        <v>44742</v>
      </c>
      <c r="D55" s="14">
        <v>370400</v>
      </c>
      <c r="E55" t="s">
        <v>27</v>
      </c>
      <c r="F55" t="s">
        <v>28</v>
      </c>
      <c r="G55" s="14">
        <v>370400</v>
      </c>
      <c r="H55" s="14">
        <v>167100</v>
      </c>
      <c r="I55" s="19">
        <f t="shared" si="4"/>
        <v>45.1133909287257</v>
      </c>
      <c r="J55" s="14">
        <v>334229</v>
      </c>
      <c r="K55" s="14">
        <f>G55-265989</f>
        <v>104411</v>
      </c>
      <c r="L55" s="14">
        <v>68240</v>
      </c>
      <c r="M55" s="29">
        <v>0</v>
      </c>
      <c r="N55" s="33">
        <v>0</v>
      </c>
      <c r="O55" s="38">
        <v>2.2799999999999998</v>
      </c>
      <c r="P55" s="38">
        <v>2.2799999999999998</v>
      </c>
      <c r="Q55" s="14" t="e">
        <f t="shared" si="5"/>
        <v>#DIV/0!</v>
      </c>
      <c r="R55" s="14">
        <f t="shared" si="6"/>
        <v>45794.298245614038</v>
      </c>
      <c r="S55" s="43">
        <f t="shared" si="7"/>
        <v>1.0512924298809467</v>
      </c>
      <c r="T55" s="38">
        <v>0</v>
      </c>
      <c r="U55" s="5" t="s">
        <v>29</v>
      </c>
      <c r="V55" t="s">
        <v>241</v>
      </c>
      <c r="X55" t="s">
        <v>31</v>
      </c>
      <c r="Y55" s="6" t="s">
        <v>32</v>
      </c>
    </row>
    <row r="56" spans="1:25" x14ac:dyDescent="0.25">
      <c r="A56" t="s">
        <v>72</v>
      </c>
      <c r="B56" t="s">
        <v>73</v>
      </c>
      <c r="C56" s="24">
        <v>45184</v>
      </c>
      <c r="D56" s="14">
        <v>200000</v>
      </c>
      <c r="E56" t="s">
        <v>27</v>
      </c>
      <c r="F56" t="s">
        <v>28</v>
      </c>
      <c r="G56" s="14">
        <v>200000</v>
      </c>
      <c r="H56" s="14">
        <v>92600</v>
      </c>
      <c r="I56" s="19">
        <f t="shared" si="4"/>
        <v>46.300000000000004</v>
      </c>
      <c r="J56" s="14">
        <v>185222</v>
      </c>
      <c r="K56" s="14">
        <f>G56-116422</f>
        <v>83578</v>
      </c>
      <c r="L56" s="14">
        <v>68800</v>
      </c>
      <c r="M56" s="29">
        <v>0</v>
      </c>
      <c r="N56" s="33">
        <v>0</v>
      </c>
      <c r="O56" s="38">
        <v>2.35</v>
      </c>
      <c r="P56" s="38">
        <v>2.35</v>
      </c>
      <c r="Q56" s="14" t="e">
        <f t="shared" si="5"/>
        <v>#DIV/0!</v>
      </c>
      <c r="R56" s="14">
        <f t="shared" si="6"/>
        <v>35565.106382978724</v>
      </c>
      <c r="S56" s="43">
        <f t="shared" si="7"/>
        <v>0.81646249731356113</v>
      </c>
      <c r="T56" s="38">
        <v>0</v>
      </c>
      <c r="U56" s="5" t="s">
        <v>29</v>
      </c>
      <c r="V56" t="s">
        <v>74</v>
      </c>
      <c r="X56" t="s">
        <v>31</v>
      </c>
      <c r="Y56" s="6" t="s">
        <v>32</v>
      </c>
    </row>
    <row r="57" spans="1:25" x14ac:dyDescent="0.25">
      <c r="A57" t="s">
        <v>169</v>
      </c>
      <c r="B57" t="s">
        <v>154</v>
      </c>
      <c r="C57" s="24">
        <v>44412</v>
      </c>
      <c r="D57" s="14">
        <v>38500</v>
      </c>
      <c r="E57" t="s">
        <v>27</v>
      </c>
      <c r="F57" t="s">
        <v>28</v>
      </c>
      <c r="G57" s="14">
        <v>38500</v>
      </c>
      <c r="H57" s="14">
        <v>34400</v>
      </c>
      <c r="I57" s="19">
        <f t="shared" si="4"/>
        <v>89.350649350649348</v>
      </c>
      <c r="J57" s="14">
        <v>68880</v>
      </c>
      <c r="K57" s="14">
        <f>G57-0</f>
        <v>38500</v>
      </c>
      <c r="L57" s="14">
        <v>68880</v>
      </c>
      <c r="M57" s="29">
        <v>0</v>
      </c>
      <c r="N57" s="33">
        <v>0</v>
      </c>
      <c r="O57" s="38">
        <v>2.36</v>
      </c>
      <c r="P57" s="38">
        <v>2.36</v>
      </c>
      <c r="Q57" s="14" t="e">
        <f t="shared" si="5"/>
        <v>#DIV/0!</v>
      </c>
      <c r="R57" s="14">
        <f t="shared" si="6"/>
        <v>16313.5593220339</v>
      </c>
      <c r="S57" s="43">
        <f t="shared" si="7"/>
        <v>0.37450778976202709</v>
      </c>
      <c r="T57" s="38">
        <v>0</v>
      </c>
      <c r="U57" s="5" t="s">
        <v>29</v>
      </c>
      <c r="V57" t="s">
        <v>170</v>
      </c>
      <c r="X57" t="s">
        <v>31</v>
      </c>
      <c r="Y57" s="6" t="s">
        <v>113</v>
      </c>
    </row>
    <row r="58" spans="1:25" x14ac:dyDescent="0.25">
      <c r="A58" t="s">
        <v>198</v>
      </c>
      <c r="B58" t="s">
        <v>199</v>
      </c>
      <c r="C58" s="24">
        <v>44523</v>
      </c>
      <c r="D58" s="14">
        <v>282500</v>
      </c>
      <c r="E58" t="s">
        <v>27</v>
      </c>
      <c r="F58" t="s">
        <v>28</v>
      </c>
      <c r="G58" s="14">
        <v>282500</v>
      </c>
      <c r="H58" s="14">
        <v>137500</v>
      </c>
      <c r="I58" s="19">
        <f t="shared" si="4"/>
        <v>48.672566371681413</v>
      </c>
      <c r="J58" s="14">
        <v>274993</v>
      </c>
      <c r="K58" s="14">
        <f>G58-205793</f>
        <v>76707</v>
      </c>
      <c r="L58" s="14">
        <v>69200</v>
      </c>
      <c r="M58" s="29">
        <v>0</v>
      </c>
      <c r="N58" s="33">
        <v>0</v>
      </c>
      <c r="O58" s="38">
        <v>2.4</v>
      </c>
      <c r="P58" s="38">
        <v>2.4</v>
      </c>
      <c r="Q58" s="14" t="e">
        <f t="shared" si="5"/>
        <v>#DIV/0!</v>
      </c>
      <c r="R58" s="14">
        <f t="shared" si="6"/>
        <v>31961.25</v>
      </c>
      <c r="S58" s="43">
        <f t="shared" si="7"/>
        <v>0.7337293388429752</v>
      </c>
      <c r="T58" s="38">
        <v>0</v>
      </c>
      <c r="U58" s="5" t="s">
        <v>29</v>
      </c>
      <c r="V58" t="s">
        <v>200</v>
      </c>
      <c r="X58" t="s">
        <v>31</v>
      </c>
      <c r="Y58" s="6" t="s">
        <v>32</v>
      </c>
    </row>
    <row r="59" spans="1:25" x14ac:dyDescent="0.25">
      <c r="A59" t="s">
        <v>320</v>
      </c>
      <c r="B59" t="s">
        <v>321</v>
      </c>
      <c r="C59" s="24">
        <v>44299</v>
      </c>
      <c r="D59" s="14">
        <v>180000</v>
      </c>
      <c r="E59" t="s">
        <v>27</v>
      </c>
      <c r="F59" t="s">
        <v>28</v>
      </c>
      <c r="G59" s="14">
        <v>180000</v>
      </c>
      <c r="H59" s="14">
        <v>119700</v>
      </c>
      <c r="I59" s="19">
        <f t="shared" si="4"/>
        <v>66.5</v>
      </c>
      <c r="J59" s="14">
        <v>239379</v>
      </c>
      <c r="K59" s="14">
        <f>G59-169379</f>
        <v>10621</v>
      </c>
      <c r="L59" s="14">
        <v>70000</v>
      </c>
      <c r="M59" s="29">
        <v>0</v>
      </c>
      <c r="N59" s="33">
        <v>0</v>
      </c>
      <c r="O59" s="38">
        <v>2.5</v>
      </c>
      <c r="P59" s="38">
        <v>2.5</v>
      </c>
      <c r="Q59" s="14" t="e">
        <f t="shared" si="5"/>
        <v>#DIV/0!</v>
      </c>
      <c r="R59" s="14">
        <f t="shared" si="6"/>
        <v>4248.3999999999996</v>
      </c>
      <c r="S59" s="43">
        <f t="shared" si="7"/>
        <v>9.7529843893480253E-2</v>
      </c>
      <c r="T59" s="38">
        <v>0</v>
      </c>
      <c r="U59" s="5" t="s">
        <v>29</v>
      </c>
      <c r="V59" t="s">
        <v>322</v>
      </c>
      <c r="X59" t="s">
        <v>31</v>
      </c>
      <c r="Y59" s="6" t="s">
        <v>32</v>
      </c>
    </row>
    <row r="60" spans="1:25" x14ac:dyDescent="0.25">
      <c r="A60" t="s">
        <v>535</v>
      </c>
      <c r="B60" t="s">
        <v>536</v>
      </c>
      <c r="C60" s="24">
        <v>44553</v>
      </c>
      <c r="D60" s="14">
        <v>185000</v>
      </c>
      <c r="E60" t="s">
        <v>27</v>
      </c>
      <c r="F60" t="s">
        <v>28</v>
      </c>
      <c r="G60" s="14">
        <v>185000</v>
      </c>
      <c r="H60" s="14">
        <v>87200</v>
      </c>
      <c r="I60" s="19">
        <f t="shared" si="4"/>
        <v>47.135135135135137</v>
      </c>
      <c r="J60" s="14">
        <v>174476</v>
      </c>
      <c r="K60" s="14">
        <f>G60-104446</f>
        <v>80554</v>
      </c>
      <c r="L60" s="14">
        <v>70030</v>
      </c>
      <c r="M60" s="29">
        <v>0</v>
      </c>
      <c r="N60" s="33">
        <v>0</v>
      </c>
      <c r="O60" s="38">
        <v>2.5299999999999998</v>
      </c>
      <c r="P60" s="38">
        <v>2.5299999999999998</v>
      </c>
      <c r="Q60" s="14" t="e">
        <f t="shared" si="5"/>
        <v>#DIV/0!</v>
      </c>
      <c r="R60" s="14">
        <f t="shared" si="6"/>
        <v>31839.525691699608</v>
      </c>
      <c r="S60" s="43">
        <f t="shared" si="7"/>
        <v>0.7309349332346099</v>
      </c>
      <c r="T60" s="38">
        <v>0</v>
      </c>
      <c r="U60" s="5" t="s">
        <v>29</v>
      </c>
      <c r="V60" t="s">
        <v>537</v>
      </c>
      <c r="X60" t="s">
        <v>31</v>
      </c>
      <c r="Y60" s="6" t="s">
        <v>32</v>
      </c>
    </row>
    <row r="61" spans="1:25" x14ac:dyDescent="0.25">
      <c r="A61" t="s">
        <v>114</v>
      </c>
      <c r="B61" t="s">
        <v>115</v>
      </c>
      <c r="C61" s="24">
        <v>44782</v>
      </c>
      <c r="D61" s="14">
        <v>130000</v>
      </c>
      <c r="E61" t="s">
        <v>27</v>
      </c>
      <c r="F61" t="s">
        <v>28</v>
      </c>
      <c r="G61" s="14">
        <v>130000</v>
      </c>
      <c r="H61" s="14">
        <v>63600</v>
      </c>
      <c r="I61" s="19">
        <f t="shared" si="4"/>
        <v>48.923076923076927</v>
      </c>
      <c r="J61" s="14">
        <v>127200</v>
      </c>
      <c r="K61" s="14">
        <f>G61-57020</f>
        <v>72980</v>
      </c>
      <c r="L61" s="14">
        <v>70180</v>
      </c>
      <c r="M61" s="29">
        <v>0</v>
      </c>
      <c r="N61" s="33">
        <v>0</v>
      </c>
      <c r="O61" s="38">
        <v>2.68</v>
      </c>
      <c r="P61" s="38">
        <v>2.68</v>
      </c>
      <c r="Q61" s="14" t="e">
        <f t="shared" si="5"/>
        <v>#DIV/0!</v>
      </c>
      <c r="R61" s="14">
        <f t="shared" si="6"/>
        <v>27231.343283582089</v>
      </c>
      <c r="S61" s="43">
        <f t="shared" si="7"/>
        <v>0.62514562175349153</v>
      </c>
      <c r="T61" s="38">
        <v>0</v>
      </c>
      <c r="U61" s="5" t="s">
        <v>29</v>
      </c>
      <c r="V61" t="s">
        <v>116</v>
      </c>
      <c r="X61" t="s">
        <v>31</v>
      </c>
      <c r="Y61" s="6" t="s">
        <v>32</v>
      </c>
    </row>
    <row r="62" spans="1:25" x14ac:dyDescent="0.25">
      <c r="A62" t="s">
        <v>302</v>
      </c>
      <c r="B62" t="s">
        <v>303</v>
      </c>
      <c r="C62" s="24">
        <v>44875</v>
      </c>
      <c r="D62" s="14">
        <v>172200</v>
      </c>
      <c r="E62" t="s">
        <v>27</v>
      </c>
      <c r="F62" t="s">
        <v>28</v>
      </c>
      <c r="G62" s="14">
        <v>172200</v>
      </c>
      <c r="H62" s="14">
        <v>67700</v>
      </c>
      <c r="I62" s="19">
        <f t="shared" si="4"/>
        <v>39.314750290360045</v>
      </c>
      <c r="J62" s="14">
        <v>135480</v>
      </c>
      <c r="K62" s="14">
        <f>G62-82792</f>
        <v>89408</v>
      </c>
      <c r="L62" s="14">
        <v>52688</v>
      </c>
      <c r="M62" s="29">
        <v>0</v>
      </c>
      <c r="N62" s="33">
        <v>0</v>
      </c>
      <c r="O62" s="38">
        <v>2.75</v>
      </c>
      <c r="P62" s="38">
        <v>2.75</v>
      </c>
      <c r="Q62" s="14" t="e">
        <f t="shared" si="5"/>
        <v>#DIV/0!</v>
      </c>
      <c r="R62" s="14">
        <f t="shared" si="6"/>
        <v>32512</v>
      </c>
      <c r="S62" s="43">
        <f t="shared" si="7"/>
        <v>0.74637281910009179</v>
      </c>
      <c r="T62" s="38">
        <v>0</v>
      </c>
      <c r="U62" s="5" t="s">
        <v>29</v>
      </c>
      <c r="V62" t="s">
        <v>304</v>
      </c>
      <c r="X62" t="s">
        <v>31</v>
      </c>
      <c r="Y62" s="6" t="s">
        <v>32</v>
      </c>
    </row>
    <row r="63" spans="1:25" x14ac:dyDescent="0.25">
      <c r="A63" t="s">
        <v>529</v>
      </c>
      <c r="B63" t="s">
        <v>530</v>
      </c>
      <c r="C63" s="24">
        <v>44439</v>
      </c>
      <c r="D63" s="14">
        <v>200000</v>
      </c>
      <c r="E63" t="s">
        <v>27</v>
      </c>
      <c r="F63" t="s">
        <v>28</v>
      </c>
      <c r="G63" s="14">
        <v>200000</v>
      </c>
      <c r="H63" s="14">
        <v>82900</v>
      </c>
      <c r="I63" s="19">
        <f t="shared" si="4"/>
        <v>41.449999999999996</v>
      </c>
      <c r="J63" s="14">
        <v>165770</v>
      </c>
      <c r="K63" s="14">
        <f>G63-95095</f>
        <v>104905</v>
      </c>
      <c r="L63" s="14">
        <v>70675</v>
      </c>
      <c r="M63" s="29">
        <v>0</v>
      </c>
      <c r="N63" s="33">
        <v>0</v>
      </c>
      <c r="O63" s="38">
        <v>3.05</v>
      </c>
      <c r="P63" s="38">
        <v>3.05</v>
      </c>
      <c r="Q63" s="14" t="e">
        <f t="shared" si="5"/>
        <v>#DIV/0!</v>
      </c>
      <c r="R63" s="14">
        <f t="shared" si="6"/>
        <v>34395.081967213118</v>
      </c>
      <c r="S63" s="43">
        <f t="shared" si="7"/>
        <v>0.78960243267247743</v>
      </c>
      <c r="T63" s="38">
        <v>0</v>
      </c>
      <c r="U63" s="5" t="s">
        <v>29</v>
      </c>
      <c r="V63" t="s">
        <v>531</v>
      </c>
      <c r="X63" t="s">
        <v>31</v>
      </c>
      <c r="Y63" s="6" t="s">
        <v>32</v>
      </c>
    </row>
    <row r="64" spans="1:25" x14ac:dyDescent="0.25">
      <c r="A64" t="s">
        <v>254</v>
      </c>
      <c r="B64" t="s">
        <v>255</v>
      </c>
      <c r="C64" s="24">
        <v>44749</v>
      </c>
      <c r="D64" s="14">
        <v>45000</v>
      </c>
      <c r="E64" t="s">
        <v>27</v>
      </c>
      <c r="F64" t="s">
        <v>28</v>
      </c>
      <c r="G64" s="14">
        <v>45000</v>
      </c>
      <c r="H64" s="14">
        <v>36100</v>
      </c>
      <c r="I64" s="19">
        <f t="shared" si="4"/>
        <v>80.222222222222214</v>
      </c>
      <c r="J64" s="14">
        <v>72180</v>
      </c>
      <c r="K64" s="14">
        <f>G64-0</f>
        <v>45000</v>
      </c>
      <c r="L64" s="14">
        <v>72180</v>
      </c>
      <c r="M64" s="29">
        <v>0</v>
      </c>
      <c r="N64" s="33">
        <v>0</v>
      </c>
      <c r="O64" s="38">
        <v>3.48</v>
      </c>
      <c r="P64" s="38">
        <v>3.48</v>
      </c>
      <c r="Q64" s="14" t="e">
        <f t="shared" si="5"/>
        <v>#DIV/0!</v>
      </c>
      <c r="R64" s="14">
        <f t="shared" si="6"/>
        <v>12931.034482758621</v>
      </c>
      <c r="S64" s="43">
        <f t="shared" si="7"/>
        <v>0.29685570437921538</v>
      </c>
      <c r="T64" s="38">
        <v>0</v>
      </c>
      <c r="U64" s="5" t="s">
        <v>29</v>
      </c>
      <c r="V64" t="s">
        <v>256</v>
      </c>
      <c r="X64" t="s">
        <v>31</v>
      </c>
      <c r="Y64" s="6" t="s">
        <v>113</v>
      </c>
    </row>
    <row r="65" spans="1:25" x14ac:dyDescent="0.25">
      <c r="A65" t="s">
        <v>219</v>
      </c>
      <c r="B65" t="s">
        <v>220</v>
      </c>
      <c r="C65" s="24">
        <v>44456</v>
      </c>
      <c r="D65" s="14">
        <v>305000</v>
      </c>
      <c r="E65" t="s">
        <v>27</v>
      </c>
      <c r="F65" t="s">
        <v>28</v>
      </c>
      <c r="G65" s="14">
        <v>305000</v>
      </c>
      <c r="H65" s="14">
        <v>132800</v>
      </c>
      <c r="I65" s="19">
        <f t="shared" si="4"/>
        <v>43.540983606557376</v>
      </c>
      <c r="J65" s="14">
        <v>265544</v>
      </c>
      <c r="K65" s="14">
        <f>G65-193259</f>
        <v>111741</v>
      </c>
      <c r="L65" s="14">
        <v>72285</v>
      </c>
      <c r="M65" s="29">
        <v>0</v>
      </c>
      <c r="N65" s="33">
        <v>0</v>
      </c>
      <c r="O65" s="38">
        <v>3.51</v>
      </c>
      <c r="P65" s="38">
        <v>3.51</v>
      </c>
      <c r="Q65" s="14" t="e">
        <f t="shared" si="5"/>
        <v>#DIV/0!</v>
      </c>
      <c r="R65" s="14">
        <f t="shared" si="6"/>
        <v>31835.042735042738</v>
      </c>
      <c r="S65" s="43">
        <f t="shared" si="7"/>
        <v>0.73083201871080661</v>
      </c>
      <c r="T65" s="38">
        <v>0</v>
      </c>
      <c r="U65" s="5" t="s">
        <v>29</v>
      </c>
      <c r="V65" t="s">
        <v>221</v>
      </c>
      <c r="X65" t="s">
        <v>31</v>
      </c>
      <c r="Y65" s="6" t="s">
        <v>32</v>
      </c>
    </row>
    <row r="66" spans="1:25" x14ac:dyDescent="0.25">
      <c r="A66" t="s">
        <v>177</v>
      </c>
      <c r="B66" t="s">
        <v>178</v>
      </c>
      <c r="C66" s="24">
        <v>45163</v>
      </c>
      <c r="D66" s="14">
        <v>64000</v>
      </c>
      <c r="E66" t="s">
        <v>27</v>
      </c>
      <c r="F66" t="s">
        <v>28</v>
      </c>
      <c r="G66" s="14">
        <v>64000</v>
      </c>
      <c r="H66" s="14">
        <v>36200</v>
      </c>
      <c r="I66" s="19">
        <f t="shared" si="4"/>
        <v>56.562500000000007</v>
      </c>
      <c r="J66" s="14">
        <v>72397</v>
      </c>
      <c r="K66" s="14">
        <f>G66-0</f>
        <v>64000</v>
      </c>
      <c r="L66" s="14">
        <v>72397</v>
      </c>
      <c r="M66" s="29">
        <v>0</v>
      </c>
      <c r="N66" s="33">
        <v>0</v>
      </c>
      <c r="O66" s="38">
        <v>3.5419999999999998</v>
      </c>
      <c r="P66" s="38">
        <v>3.5419999999999998</v>
      </c>
      <c r="Q66" s="14" t="e">
        <f t="shared" si="5"/>
        <v>#DIV/0!</v>
      </c>
      <c r="R66" s="14">
        <f t="shared" si="6"/>
        <v>18068.887634105027</v>
      </c>
      <c r="S66" s="43">
        <f t="shared" si="7"/>
        <v>0.41480458296843498</v>
      </c>
      <c r="T66" s="38">
        <v>0</v>
      </c>
      <c r="U66" s="5" t="s">
        <v>29</v>
      </c>
      <c r="V66" t="s">
        <v>179</v>
      </c>
      <c r="X66" t="s">
        <v>31</v>
      </c>
      <c r="Y66" s="6" t="s">
        <v>113</v>
      </c>
    </row>
    <row r="67" spans="1:25" x14ac:dyDescent="0.25">
      <c r="A67" t="s">
        <v>192</v>
      </c>
      <c r="B67" t="s">
        <v>193</v>
      </c>
      <c r="C67" s="24">
        <v>44769</v>
      </c>
      <c r="D67" s="14">
        <v>340000</v>
      </c>
      <c r="E67" t="s">
        <v>27</v>
      </c>
      <c r="F67" t="s">
        <v>28</v>
      </c>
      <c r="G67" s="14">
        <v>340000</v>
      </c>
      <c r="H67" s="14">
        <v>165800</v>
      </c>
      <c r="I67" s="19">
        <f t="shared" ref="I67:I98" si="8">H67/G67*100</f>
        <v>48.764705882352942</v>
      </c>
      <c r="J67" s="14">
        <v>331510</v>
      </c>
      <c r="K67" s="14">
        <f>G67-258350</f>
        <v>81650</v>
      </c>
      <c r="L67" s="14">
        <v>73160</v>
      </c>
      <c r="M67" s="29">
        <v>0</v>
      </c>
      <c r="N67" s="33">
        <v>0</v>
      </c>
      <c r="O67" s="38">
        <v>3.76</v>
      </c>
      <c r="P67" s="38">
        <v>3.76</v>
      </c>
      <c r="Q67" s="14" t="e">
        <f t="shared" ref="Q67:Q100" si="9">K67/M67</f>
        <v>#DIV/0!</v>
      </c>
      <c r="R67" s="14">
        <f t="shared" ref="R67:R100" si="10">K67/O67</f>
        <v>21715.425531914894</v>
      </c>
      <c r="S67" s="43">
        <f t="shared" ref="S67:S100" si="11">K67/O67/43560</f>
        <v>0.49851757419455678</v>
      </c>
      <c r="T67" s="38">
        <v>0</v>
      </c>
      <c r="U67" s="5" t="s">
        <v>29</v>
      </c>
      <c r="V67" t="s">
        <v>194</v>
      </c>
      <c r="X67" t="s">
        <v>31</v>
      </c>
      <c r="Y67" s="6" t="s">
        <v>32</v>
      </c>
    </row>
    <row r="68" spans="1:25" x14ac:dyDescent="0.25">
      <c r="A68" t="s">
        <v>275</v>
      </c>
      <c r="B68" t="s">
        <v>276</v>
      </c>
      <c r="C68" s="24">
        <v>44742</v>
      </c>
      <c r="D68" s="14">
        <v>250000</v>
      </c>
      <c r="E68" t="s">
        <v>27</v>
      </c>
      <c r="F68" t="s">
        <v>28</v>
      </c>
      <c r="G68" s="14">
        <v>250000</v>
      </c>
      <c r="H68" s="14">
        <v>126800</v>
      </c>
      <c r="I68" s="19">
        <f t="shared" si="8"/>
        <v>50.72</v>
      </c>
      <c r="J68" s="14">
        <v>253645</v>
      </c>
      <c r="K68" s="14">
        <f>G68-180450</f>
        <v>69550</v>
      </c>
      <c r="L68" s="14">
        <v>73195</v>
      </c>
      <c r="M68" s="29">
        <v>0</v>
      </c>
      <c r="N68" s="33">
        <v>0</v>
      </c>
      <c r="O68" s="38">
        <v>3.77</v>
      </c>
      <c r="P68" s="38">
        <v>3.77</v>
      </c>
      <c r="Q68" s="14" t="e">
        <f t="shared" si="9"/>
        <v>#DIV/0!</v>
      </c>
      <c r="R68" s="14">
        <f t="shared" si="10"/>
        <v>18448.275862068964</v>
      </c>
      <c r="S68" s="43">
        <f t="shared" si="11"/>
        <v>0.42351413824768053</v>
      </c>
      <c r="T68" s="38">
        <v>0</v>
      </c>
      <c r="U68" s="5" t="s">
        <v>29</v>
      </c>
      <c r="V68" t="s">
        <v>277</v>
      </c>
      <c r="X68" t="s">
        <v>31</v>
      </c>
      <c r="Y68" s="6" t="s">
        <v>32</v>
      </c>
    </row>
    <row r="69" spans="1:25" x14ac:dyDescent="0.25">
      <c r="A69" t="s">
        <v>266</v>
      </c>
      <c r="B69" t="s">
        <v>267</v>
      </c>
      <c r="C69" s="24">
        <v>44736</v>
      </c>
      <c r="D69" s="14">
        <v>335000</v>
      </c>
      <c r="E69" t="s">
        <v>27</v>
      </c>
      <c r="F69" t="s">
        <v>28</v>
      </c>
      <c r="G69" s="14">
        <v>335000</v>
      </c>
      <c r="H69" s="14">
        <v>148100</v>
      </c>
      <c r="I69" s="19">
        <f t="shared" si="8"/>
        <v>44.208955223880594</v>
      </c>
      <c r="J69" s="14">
        <v>296265</v>
      </c>
      <c r="K69" s="14">
        <f>G69-222790</f>
        <v>112210</v>
      </c>
      <c r="L69" s="14">
        <v>73475</v>
      </c>
      <c r="M69" s="29">
        <v>0</v>
      </c>
      <c r="N69" s="33">
        <v>0</v>
      </c>
      <c r="O69" s="38">
        <v>3.85</v>
      </c>
      <c r="P69" s="38">
        <v>3.85</v>
      </c>
      <c r="Q69" s="14" t="e">
        <f t="shared" si="9"/>
        <v>#DIV/0!</v>
      </c>
      <c r="R69" s="14">
        <f t="shared" si="10"/>
        <v>29145.454545454544</v>
      </c>
      <c r="S69" s="43">
        <f t="shared" si="11"/>
        <v>0.66908756991401619</v>
      </c>
      <c r="T69" s="38">
        <v>0</v>
      </c>
      <c r="U69" s="5" t="s">
        <v>29</v>
      </c>
      <c r="V69" t="s">
        <v>268</v>
      </c>
      <c r="X69" t="s">
        <v>31</v>
      </c>
      <c r="Y69" s="6" t="s">
        <v>32</v>
      </c>
    </row>
    <row r="70" spans="1:25" x14ac:dyDescent="0.25">
      <c r="A70" t="s">
        <v>163</v>
      </c>
      <c r="B70" t="s">
        <v>164</v>
      </c>
      <c r="C70" s="24">
        <v>44652</v>
      </c>
      <c r="D70" s="14">
        <v>380000</v>
      </c>
      <c r="E70" t="s">
        <v>27</v>
      </c>
      <c r="F70" t="s">
        <v>28</v>
      </c>
      <c r="G70" s="14">
        <v>380000</v>
      </c>
      <c r="H70" s="14">
        <v>158800</v>
      </c>
      <c r="I70" s="19">
        <f t="shared" si="8"/>
        <v>41.789473684210527</v>
      </c>
      <c r="J70" s="14">
        <v>317669</v>
      </c>
      <c r="K70" s="14">
        <f>G70-243297</f>
        <v>136703</v>
      </c>
      <c r="L70" s="14">
        <v>74372</v>
      </c>
      <c r="M70" s="29">
        <v>0</v>
      </c>
      <c r="N70" s="33">
        <v>0</v>
      </c>
      <c r="O70" s="38">
        <v>4.3719999999999999</v>
      </c>
      <c r="P70" s="38">
        <v>4.3719999999999999</v>
      </c>
      <c r="Q70" s="14" t="e">
        <f t="shared" si="9"/>
        <v>#DIV/0!</v>
      </c>
      <c r="R70" s="14">
        <f t="shared" si="10"/>
        <v>31267.840805123513</v>
      </c>
      <c r="S70" s="43">
        <f t="shared" si="11"/>
        <v>0.71781085411210999</v>
      </c>
      <c r="T70" s="38">
        <v>0</v>
      </c>
      <c r="U70" s="5" t="s">
        <v>29</v>
      </c>
      <c r="V70" t="s">
        <v>165</v>
      </c>
      <c r="X70" t="s">
        <v>31</v>
      </c>
      <c r="Y70" s="6" t="s">
        <v>32</v>
      </c>
    </row>
    <row r="71" spans="1:25" x14ac:dyDescent="0.25">
      <c r="A71" t="s">
        <v>123</v>
      </c>
      <c r="B71" t="s">
        <v>124</v>
      </c>
      <c r="C71" s="24">
        <v>44992</v>
      </c>
      <c r="D71" s="14">
        <v>430000</v>
      </c>
      <c r="E71" t="s">
        <v>27</v>
      </c>
      <c r="F71" t="s">
        <v>28</v>
      </c>
      <c r="G71" s="14">
        <v>430000</v>
      </c>
      <c r="H71" s="14">
        <v>145000</v>
      </c>
      <c r="I71" s="19">
        <f t="shared" si="8"/>
        <v>33.720930232558139</v>
      </c>
      <c r="J71" s="14">
        <v>290005</v>
      </c>
      <c r="K71" s="14">
        <f>G71-215445</f>
        <v>214555</v>
      </c>
      <c r="L71" s="14">
        <v>74560</v>
      </c>
      <c r="M71" s="29">
        <v>0</v>
      </c>
      <c r="N71" s="33">
        <v>0</v>
      </c>
      <c r="O71" s="38">
        <v>4.5599999999999996</v>
      </c>
      <c r="P71" s="38">
        <v>4.5599999999999996</v>
      </c>
      <c r="Q71" s="14" t="e">
        <f t="shared" si="9"/>
        <v>#DIV/0!</v>
      </c>
      <c r="R71" s="14">
        <f t="shared" si="10"/>
        <v>47051.535087719305</v>
      </c>
      <c r="S71" s="43">
        <f t="shared" si="11"/>
        <v>1.0801546163388269</v>
      </c>
      <c r="T71" s="38">
        <v>0</v>
      </c>
      <c r="U71" s="5" t="s">
        <v>29</v>
      </c>
      <c r="V71" t="s">
        <v>125</v>
      </c>
      <c r="X71" t="s">
        <v>31</v>
      </c>
      <c r="Y71" s="6" t="s">
        <v>32</v>
      </c>
    </row>
    <row r="72" spans="1:25" x14ac:dyDescent="0.25">
      <c r="A72" t="s">
        <v>335</v>
      </c>
      <c r="B72" t="s">
        <v>336</v>
      </c>
      <c r="C72" s="24">
        <v>44936</v>
      </c>
      <c r="D72" s="14">
        <v>299900</v>
      </c>
      <c r="E72" t="s">
        <v>27</v>
      </c>
      <c r="F72" t="s">
        <v>28</v>
      </c>
      <c r="G72" s="14">
        <v>299900</v>
      </c>
      <c r="H72" s="14">
        <v>76000</v>
      </c>
      <c r="I72" s="19">
        <f t="shared" si="8"/>
        <v>25.341780593531176</v>
      </c>
      <c r="J72" s="14">
        <v>152086</v>
      </c>
      <c r="K72" s="14">
        <f>G72-114666</f>
        <v>185234</v>
      </c>
      <c r="L72" s="14">
        <v>37420</v>
      </c>
      <c r="M72" s="29">
        <v>0</v>
      </c>
      <c r="N72" s="33">
        <v>0</v>
      </c>
      <c r="O72" s="38">
        <v>4.84</v>
      </c>
      <c r="P72" s="38">
        <v>4.84</v>
      </c>
      <c r="Q72" s="14" t="e">
        <f t="shared" si="9"/>
        <v>#DIV/0!</v>
      </c>
      <c r="R72" s="14">
        <f t="shared" si="10"/>
        <v>38271.487603305788</v>
      </c>
      <c r="S72" s="43">
        <f t="shared" si="11"/>
        <v>0.87859246104926048</v>
      </c>
      <c r="T72" s="38">
        <v>0</v>
      </c>
      <c r="U72" s="5" t="s">
        <v>29</v>
      </c>
      <c r="V72" t="s">
        <v>337</v>
      </c>
      <c r="X72" t="s">
        <v>31</v>
      </c>
      <c r="Y72" s="6" t="s">
        <v>32</v>
      </c>
    </row>
    <row r="73" spans="1:25" x14ac:dyDescent="0.25">
      <c r="A73" t="s">
        <v>308</v>
      </c>
      <c r="B73" t="s">
        <v>309</v>
      </c>
      <c r="C73" s="24">
        <v>45057</v>
      </c>
      <c r="D73" s="14">
        <v>565000</v>
      </c>
      <c r="E73" t="s">
        <v>27</v>
      </c>
      <c r="F73" t="s">
        <v>28</v>
      </c>
      <c r="G73" s="14">
        <v>565000</v>
      </c>
      <c r="H73" s="14">
        <v>213100</v>
      </c>
      <c r="I73" s="19">
        <f t="shared" si="8"/>
        <v>37.716814159292035</v>
      </c>
      <c r="J73" s="14">
        <v>426236</v>
      </c>
      <c r="K73" s="14">
        <f>G73-351236</f>
        <v>213764</v>
      </c>
      <c r="L73" s="14">
        <v>75000</v>
      </c>
      <c r="M73" s="29">
        <v>0</v>
      </c>
      <c r="N73" s="33">
        <v>0</v>
      </c>
      <c r="O73" s="38">
        <v>5</v>
      </c>
      <c r="P73" s="38">
        <v>5</v>
      </c>
      <c r="Q73" s="14" t="e">
        <f t="shared" si="9"/>
        <v>#DIV/0!</v>
      </c>
      <c r="R73" s="14">
        <f t="shared" si="10"/>
        <v>42752.800000000003</v>
      </c>
      <c r="S73" s="43">
        <f t="shared" si="11"/>
        <v>0.98146923783287421</v>
      </c>
      <c r="T73" s="38">
        <v>0</v>
      </c>
      <c r="U73" s="5" t="s">
        <v>29</v>
      </c>
      <c r="V73" t="s">
        <v>310</v>
      </c>
      <c r="X73" t="s">
        <v>31</v>
      </c>
      <c r="Y73" s="6" t="s">
        <v>32</v>
      </c>
    </row>
    <row r="74" spans="1:25" x14ac:dyDescent="0.25">
      <c r="A74" t="s">
        <v>323</v>
      </c>
      <c r="B74" t="s">
        <v>324</v>
      </c>
      <c r="C74" s="24">
        <v>44739</v>
      </c>
      <c r="D74" s="14">
        <v>319000</v>
      </c>
      <c r="E74" t="s">
        <v>27</v>
      </c>
      <c r="F74" t="s">
        <v>28</v>
      </c>
      <c r="G74" s="14">
        <v>319000</v>
      </c>
      <c r="H74" s="14">
        <v>126000</v>
      </c>
      <c r="I74" s="19">
        <f t="shared" si="8"/>
        <v>39.498432601880879</v>
      </c>
      <c r="J74" s="14">
        <v>251993</v>
      </c>
      <c r="K74" s="14">
        <f>G74-176993</f>
        <v>142007</v>
      </c>
      <c r="L74" s="14">
        <v>75000</v>
      </c>
      <c r="M74" s="29">
        <v>0</v>
      </c>
      <c r="N74" s="33">
        <v>0</v>
      </c>
      <c r="O74" s="38">
        <v>5</v>
      </c>
      <c r="P74" s="38">
        <v>5</v>
      </c>
      <c r="Q74" s="14" t="e">
        <f t="shared" si="9"/>
        <v>#DIV/0!</v>
      </c>
      <c r="R74" s="14">
        <f t="shared" si="10"/>
        <v>28401.4</v>
      </c>
      <c r="S74" s="43">
        <f t="shared" si="11"/>
        <v>0.65200642791551888</v>
      </c>
      <c r="T74" s="38">
        <v>0</v>
      </c>
      <c r="U74" s="5" t="s">
        <v>29</v>
      </c>
      <c r="V74" t="s">
        <v>325</v>
      </c>
      <c r="X74" t="s">
        <v>31</v>
      </c>
      <c r="Y74" s="6" t="s">
        <v>32</v>
      </c>
    </row>
    <row r="75" spans="1:25" x14ac:dyDescent="0.25">
      <c r="A75" t="s">
        <v>180</v>
      </c>
      <c r="B75" t="s">
        <v>181</v>
      </c>
      <c r="C75" s="24">
        <v>45077</v>
      </c>
      <c r="D75" s="14">
        <v>227000</v>
      </c>
      <c r="E75" t="s">
        <v>27</v>
      </c>
      <c r="F75" t="s">
        <v>28</v>
      </c>
      <c r="G75" s="14">
        <v>227000</v>
      </c>
      <c r="H75" s="14">
        <v>88600</v>
      </c>
      <c r="I75" s="19">
        <f t="shared" si="8"/>
        <v>39.030837004405292</v>
      </c>
      <c r="J75" s="14">
        <v>177204</v>
      </c>
      <c r="K75" s="14">
        <f>G75-97704</f>
        <v>129296</v>
      </c>
      <c r="L75" s="14">
        <v>79500</v>
      </c>
      <c r="M75" s="29">
        <v>0</v>
      </c>
      <c r="N75" s="33">
        <v>0</v>
      </c>
      <c r="O75" s="38">
        <v>6</v>
      </c>
      <c r="P75" s="38">
        <v>6</v>
      </c>
      <c r="Q75" s="14" t="e">
        <f t="shared" si="9"/>
        <v>#DIV/0!</v>
      </c>
      <c r="R75" s="14">
        <f t="shared" si="10"/>
        <v>21549.333333333332</v>
      </c>
      <c r="S75" s="43">
        <f t="shared" si="11"/>
        <v>0.49470462197734921</v>
      </c>
      <c r="T75" s="38">
        <v>0</v>
      </c>
      <c r="U75" s="5" t="s">
        <v>29</v>
      </c>
      <c r="V75" t="s">
        <v>182</v>
      </c>
      <c r="X75" t="s">
        <v>31</v>
      </c>
      <c r="Y75" s="6" t="s">
        <v>32</v>
      </c>
    </row>
    <row r="76" spans="1:25" x14ac:dyDescent="0.25">
      <c r="A76" t="s">
        <v>210</v>
      </c>
      <c r="B76" t="s">
        <v>211</v>
      </c>
      <c r="C76" s="24">
        <v>44505</v>
      </c>
      <c r="D76" s="14">
        <v>460000</v>
      </c>
      <c r="E76" t="s">
        <v>27</v>
      </c>
      <c r="F76" t="s">
        <v>28</v>
      </c>
      <c r="G76" s="14">
        <v>460000</v>
      </c>
      <c r="H76" s="14">
        <v>256100</v>
      </c>
      <c r="I76" s="19">
        <f t="shared" si="8"/>
        <v>55.673913043478265</v>
      </c>
      <c r="J76" s="14">
        <v>512299</v>
      </c>
      <c r="K76" s="14">
        <f>G76-431359</f>
        <v>28641</v>
      </c>
      <c r="L76" s="14">
        <v>80940</v>
      </c>
      <c r="M76" s="29">
        <v>0</v>
      </c>
      <c r="N76" s="33">
        <v>0</v>
      </c>
      <c r="O76" s="38">
        <v>6.32</v>
      </c>
      <c r="P76" s="38">
        <v>6.32</v>
      </c>
      <c r="Q76" s="14" t="e">
        <f t="shared" si="9"/>
        <v>#DIV/0!</v>
      </c>
      <c r="R76" s="14">
        <f t="shared" si="10"/>
        <v>4531.8037974683539</v>
      </c>
      <c r="S76" s="43">
        <f t="shared" si="11"/>
        <v>0.10403589985005404</v>
      </c>
      <c r="T76" s="38">
        <v>0</v>
      </c>
      <c r="U76" s="5" t="s">
        <v>29</v>
      </c>
      <c r="V76" t="s">
        <v>212</v>
      </c>
      <c r="X76" t="s">
        <v>31</v>
      </c>
      <c r="Y76" s="6" t="s">
        <v>32</v>
      </c>
    </row>
    <row r="77" spans="1:25" x14ac:dyDescent="0.25">
      <c r="A77" t="s">
        <v>63</v>
      </c>
      <c r="B77" t="s">
        <v>64</v>
      </c>
      <c r="C77" s="24">
        <v>44330</v>
      </c>
      <c r="D77" s="14">
        <v>337000</v>
      </c>
      <c r="E77" t="s">
        <v>27</v>
      </c>
      <c r="F77" t="s">
        <v>28</v>
      </c>
      <c r="G77" s="14">
        <v>337000</v>
      </c>
      <c r="H77" s="14">
        <v>109300</v>
      </c>
      <c r="I77" s="19">
        <f t="shared" si="8"/>
        <v>32.433234421364986</v>
      </c>
      <c r="J77" s="14">
        <v>218619</v>
      </c>
      <c r="K77" s="14">
        <f>G77-131026</f>
        <v>205974</v>
      </c>
      <c r="L77" s="14">
        <v>87593</v>
      </c>
      <c r="M77" s="29">
        <v>0</v>
      </c>
      <c r="N77" s="33">
        <v>0</v>
      </c>
      <c r="O77" s="38">
        <v>7.77</v>
      </c>
      <c r="P77" s="38">
        <v>7.77</v>
      </c>
      <c r="Q77" s="14" t="e">
        <f t="shared" si="9"/>
        <v>#DIV/0!</v>
      </c>
      <c r="R77" s="14">
        <f t="shared" si="10"/>
        <v>26508.880308880311</v>
      </c>
      <c r="S77" s="43">
        <f t="shared" si="11"/>
        <v>0.60856015401469954</v>
      </c>
      <c r="T77" s="38">
        <v>0</v>
      </c>
      <c r="U77" s="5" t="s">
        <v>29</v>
      </c>
      <c r="V77" t="s">
        <v>65</v>
      </c>
      <c r="X77" t="s">
        <v>31</v>
      </c>
      <c r="Y77" s="6" t="s">
        <v>32</v>
      </c>
    </row>
    <row r="78" spans="1:25" x14ac:dyDescent="0.25">
      <c r="A78" t="s">
        <v>314</v>
      </c>
      <c r="B78" t="s">
        <v>315</v>
      </c>
      <c r="C78" s="24">
        <v>44358</v>
      </c>
      <c r="D78" s="14">
        <v>412000</v>
      </c>
      <c r="E78" t="s">
        <v>27</v>
      </c>
      <c r="F78" t="s">
        <v>28</v>
      </c>
      <c r="G78" s="14">
        <v>412000</v>
      </c>
      <c r="H78" s="14">
        <v>211600</v>
      </c>
      <c r="I78" s="19">
        <f t="shared" si="8"/>
        <v>51.359223300970868</v>
      </c>
      <c r="J78" s="14">
        <v>423202</v>
      </c>
      <c r="K78" s="14">
        <f>G78-335609</f>
        <v>76391</v>
      </c>
      <c r="L78" s="14">
        <v>87593</v>
      </c>
      <c r="M78" s="29">
        <v>0</v>
      </c>
      <c r="N78" s="33">
        <v>0</v>
      </c>
      <c r="O78" s="38">
        <v>7.77</v>
      </c>
      <c r="P78" s="38">
        <v>7.77</v>
      </c>
      <c r="Q78" s="14" t="e">
        <f t="shared" si="9"/>
        <v>#DIV/0!</v>
      </c>
      <c r="R78" s="14">
        <f t="shared" si="10"/>
        <v>9831.5315315315329</v>
      </c>
      <c r="S78" s="43">
        <f t="shared" si="11"/>
        <v>0.22570090751908936</v>
      </c>
      <c r="T78" s="38">
        <v>0</v>
      </c>
      <c r="U78" s="5" t="s">
        <v>29</v>
      </c>
      <c r="V78" t="s">
        <v>316</v>
      </c>
      <c r="X78" t="s">
        <v>31</v>
      </c>
      <c r="Y78" s="6" t="s">
        <v>32</v>
      </c>
    </row>
    <row r="79" spans="1:25" x14ac:dyDescent="0.25">
      <c r="A79" t="s">
        <v>332</v>
      </c>
      <c r="B79" t="s">
        <v>333</v>
      </c>
      <c r="C79" s="24">
        <v>44468</v>
      </c>
      <c r="D79" s="14">
        <v>200000</v>
      </c>
      <c r="E79" t="s">
        <v>27</v>
      </c>
      <c r="F79" t="s">
        <v>28</v>
      </c>
      <c r="G79" s="14">
        <v>200000</v>
      </c>
      <c r="H79" s="14">
        <v>111000</v>
      </c>
      <c r="I79" s="19">
        <f t="shared" si="8"/>
        <v>55.500000000000007</v>
      </c>
      <c r="J79" s="14">
        <v>222012</v>
      </c>
      <c r="K79" s="14">
        <f>G79-133905</f>
        <v>66095</v>
      </c>
      <c r="L79" s="14">
        <v>88107</v>
      </c>
      <c r="M79" s="29">
        <v>0</v>
      </c>
      <c r="N79" s="33">
        <v>0</v>
      </c>
      <c r="O79" s="38">
        <v>7.88</v>
      </c>
      <c r="P79" s="38">
        <v>7.88</v>
      </c>
      <c r="Q79" s="14" t="e">
        <f t="shared" si="9"/>
        <v>#DIV/0!</v>
      </c>
      <c r="R79" s="14">
        <f t="shared" si="10"/>
        <v>8387.6903553299489</v>
      </c>
      <c r="S79" s="43">
        <f t="shared" si="11"/>
        <v>0.19255487500757459</v>
      </c>
      <c r="T79" s="38">
        <v>0</v>
      </c>
      <c r="U79" s="5" t="s">
        <v>29</v>
      </c>
      <c r="V79" t="s">
        <v>334</v>
      </c>
      <c r="X79" t="s">
        <v>31</v>
      </c>
      <c r="Y79" s="6" t="s">
        <v>32</v>
      </c>
    </row>
    <row r="80" spans="1:25" x14ac:dyDescent="0.25">
      <c r="A80" t="s">
        <v>174</v>
      </c>
      <c r="B80" t="s">
        <v>175</v>
      </c>
      <c r="C80" s="24">
        <v>44904</v>
      </c>
      <c r="D80" s="14">
        <v>339300</v>
      </c>
      <c r="E80" t="s">
        <v>27</v>
      </c>
      <c r="F80" t="s">
        <v>28</v>
      </c>
      <c r="G80" s="14">
        <v>339300</v>
      </c>
      <c r="H80" s="14">
        <v>152500</v>
      </c>
      <c r="I80" s="19">
        <f t="shared" si="8"/>
        <v>44.945475979958736</v>
      </c>
      <c r="J80" s="14">
        <v>305016</v>
      </c>
      <c r="K80" s="14">
        <f>G80-214669</f>
        <v>124631</v>
      </c>
      <c r="L80" s="14">
        <v>90347</v>
      </c>
      <c r="M80" s="29">
        <v>0</v>
      </c>
      <c r="N80" s="33">
        <v>0</v>
      </c>
      <c r="O80" s="38">
        <v>8.36</v>
      </c>
      <c r="P80" s="38">
        <v>8.36</v>
      </c>
      <c r="Q80" s="14" t="e">
        <f t="shared" si="9"/>
        <v>#DIV/0!</v>
      </c>
      <c r="R80" s="14">
        <f t="shared" si="10"/>
        <v>14908.014354066987</v>
      </c>
      <c r="S80" s="43">
        <f t="shared" si="11"/>
        <v>0.34224091721916866</v>
      </c>
      <c r="T80" s="38">
        <v>0</v>
      </c>
      <c r="U80" s="5" t="s">
        <v>29</v>
      </c>
      <c r="V80" t="s">
        <v>176</v>
      </c>
      <c r="X80" t="s">
        <v>31</v>
      </c>
      <c r="Y80" s="6" t="s">
        <v>32</v>
      </c>
    </row>
    <row r="81" spans="1:25" x14ac:dyDescent="0.25">
      <c r="A81" t="s">
        <v>57</v>
      </c>
      <c r="B81" t="s">
        <v>58</v>
      </c>
      <c r="C81" s="24">
        <v>45044</v>
      </c>
      <c r="D81" s="14">
        <v>290000</v>
      </c>
      <c r="E81" t="s">
        <v>27</v>
      </c>
      <c r="F81" t="s">
        <v>28</v>
      </c>
      <c r="G81" s="14">
        <v>290000</v>
      </c>
      <c r="H81" s="14">
        <v>146300</v>
      </c>
      <c r="I81" s="19">
        <f t="shared" si="8"/>
        <v>50.448275862068968</v>
      </c>
      <c r="J81" s="14">
        <v>292606</v>
      </c>
      <c r="K81" s="14">
        <f>G81-200999</f>
        <v>89001</v>
      </c>
      <c r="L81" s="14">
        <v>91607</v>
      </c>
      <c r="M81" s="29">
        <v>0</v>
      </c>
      <c r="N81" s="33">
        <v>0</v>
      </c>
      <c r="O81" s="38">
        <v>8.6300000000000008</v>
      </c>
      <c r="P81" s="38">
        <v>8.6300000000000008</v>
      </c>
      <c r="Q81" s="14" t="e">
        <f t="shared" si="9"/>
        <v>#DIV/0!</v>
      </c>
      <c r="R81" s="14">
        <f t="shared" si="10"/>
        <v>10312.977983777519</v>
      </c>
      <c r="S81" s="43">
        <f t="shared" si="11"/>
        <v>0.23675339724007161</v>
      </c>
      <c r="T81" s="38">
        <v>0</v>
      </c>
      <c r="U81" s="5" t="s">
        <v>29</v>
      </c>
      <c r="V81" t="s">
        <v>59</v>
      </c>
      <c r="X81" t="s">
        <v>31</v>
      </c>
      <c r="Y81" s="6" t="s">
        <v>32</v>
      </c>
    </row>
    <row r="82" spans="1:25" x14ac:dyDescent="0.25">
      <c r="A82" t="s">
        <v>305</v>
      </c>
      <c r="B82" t="s">
        <v>306</v>
      </c>
      <c r="C82" s="24">
        <v>44434</v>
      </c>
      <c r="D82" s="14">
        <v>329000</v>
      </c>
      <c r="E82" t="s">
        <v>27</v>
      </c>
      <c r="F82" t="s">
        <v>28</v>
      </c>
      <c r="G82" s="14">
        <v>329000</v>
      </c>
      <c r="H82" s="14">
        <v>144100</v>
      </c>
      <c r="I82" s="19">
        <f t="shared" si="8"/>
        <v>43.799392097264437</v>
      </c>
      <c r="J82" s="14">
        <v>288290</v>
      </c>
      <c r="K82" s="14">
        <f>G82-195237</f>
        <v>133763</v>
      </c>
      <c r="L82" s="14">
        <v>93053</v>
      </c>
      <c r="M82" s="29">
        <v>0</v>
      </c>
      <c r="N82" s="33">
        <v>0</v>
      </c>
      <c r="O82" s="38">
        <v>8.94</v>
      </c>
      <c r="P82" s="38">
        <v>8.94</v>
      </c>
      <c r="Q82" s="14" t="e">
        <f t="shared" si="9"/>
        <v>#DIV/0!</v>
      </c>
      <c r="R82" s="14">
        <f t="shared" si="10"/>
        <v>14962.304250559286</v>
      </c>
      <c r="S82" s="43">
        <f t="shared" si="11"/>
        <v>0.34348724174837664</v>
      </c>
      <c r="T82" s="38">
        <v>0</v>
      </c>
      <c r="U82" s="5" t="s">
        <v>29</v>
      </c>
      <c r="V82" t="s">
        <v>307</v>
      </c>
      <c r="X82" t="s">
        <v>31</v>
      </c>
      <c r="Y82" s="6" t="s">
        <v>32</v>
      </c>
    </row>
    <row r="83" spans="1:25" x14ac:dyDescent="0.25">
      <c r="A83" t="s">
        <v>245</v>
      </c>
      <c r="B83" t="s">
        <v>246</v>
      </c>
      <c r="C83" s="24">
        <v>44369</v>
      </c>
      <c r="D83" s="14">
        <v>265000</v>
      </c>
      <c r="E83" t="s">
        <v>27</v>
      </c>
      <c r="F83" t="s">
        <v>28</v>
      </c>
      <c r="G83" s="14">
        <v>265000</v>
      </c>
      <c r="H83" s="14">
        <v>141100</v>
      </c>
      <c r="I83" s="19">
        <f t="shared" si="8"/>
        <v>53.24528301886793</v>
      </c>
      <c r="J83" s="14">
        <v>282219</v>
      </c>
      <c r="K83" s="14">
        <f>G83-189119</f>
        <v>75881</v>
      </c>
      <c r="L83" s="14">
        <v>93100</v>
      </c>
      <c r="M83" s="29">
        <v>0</v>
      </c>
      <c r="N83" s="33">
        <v>0</v>
      </c>
      <c r="O83" s="38">
        <v>8.9499999999999993</v>
      </c>
      <c r="P83" s="38">
        <v>8.9499999999999993</v>
      </c>
      <c r="Q83" s="14" t="e">
        <f t="shared" si="9"/>
        <v>#DIV/0!</v>
      </c>
      <c r="R83" s="14">
        <f t="shared" si="10"/>
        <v>8478.324022346369</v>
      </c>
      <c r="S83" s="43">
        <f t="shared" si="11"/>
        <v>0.1946355377030847</v>
      </c>
      <c r="T83" s="38">
        <v>0</v>
      </c>
      <c r="U83" s="5" t="s">
        <v>29</v>
      </c>
      <c r="V83" t="s">
        <v>247</v>
      </c>
      <c r="X83" t="s">
        <v>31</v>
      </c>
      <c r="Y83" s="6" t="s">
        <v>32</v>
      </c>
    </row>
    <row r="84" spans="1:25" x14ac:dyDescent="0.25">
      <c r="A84" t="s">
        <v>317</v>
      </c>
      <c r="B84" t="s">
        <v>318</v>
      </c>
      <c r="C84" s="24">
        <v>44782</v>
      </c>
      <c r="D84" s="14">
        <v>225000</v>
      </c>
      <c r="E84" t="s">
        <v>27</v>
      </c>
      <c r="F84" t="s">
        <v>28</v>
      </c>
      <c r="G84" s="14">
        <v>225000</v>
      </c>
      <c r="H84" s="14">
        <v>106700</v>
      </c>
      <c r="I84" s="19">
        <f t="shared" si="8"/>
        <v>47.422222222222224</v>
      </c>
      <c r="J84" s="14">
        <v>213365</v>
      </c>
      <c r="K84" s="14">
        <f>G84-115365</f>
        <v>109635</v>
      </c>
      <c r="L84" s="14">
        <v>98000</v>
      </c>
      <c r="M84" s="29">
        <v>0</v>
      </c>
      <c r="N84" s="33">
        <v>0</v>
      </c>
      <c r="O84" s="38">
        <v>10</v>
      </c>
      <c r="P84" s="38">
        <v>10</v>
      </c>
      <c r="Q84" s="14" t="e">
        <f t="shared" si="9"/>
        <v>#DIV/0!</v>
      </c>
      <c r="R84" s="14">
        <f t="shared" si="10"/>
        <v>10963.5</v>
      </c>
      <c r="S84" s="43">
        <f t="shared" si="11"/>
        <v>0.25168732782369146</v>
      </c>
      <c r="T84" s="38">
        <v>0</v>
      </c>
      <c r="U84" s="5" t="s">
        <v>29</v>
      </c>
      <c r="V84" t="s">
        <v>319</v>
      </c>
      <c r="X84" t="s">
        <v>31</v>
      </c>
      <c r="Y84" s="6" t="s">
        <v>32</v>
      </c>
    </row>
    <row r="85" spans="1:25" x14ac:dyDescent="0.25">
      <c r="A85" t="s">
        <v>290</v>
      </c>
      <c r="B85" t="s">
        <v>291</v>
      </c>
      <c r="C85" s="24">
        <v>44564</v>
      </c>
      <c r="D85" s="14">
        <v>380000</v>
      </c>
      <c r="E85" t="s">
        <v>27</v>
      </c>
      <c r="F85" t="s">
        <v>28</v>
      </c>
      <c r="G85" s="14">
        <v>380000</v>
      </c>
      <c r="H85" s="14">
        <v>141000</v>
      </c>
      <c r="I85" s="19">
        <f t="shared" si="8"/>
        <v>37.105263157894733</v>
      </c>
      <c r="J85" s="14">
        <v>282077</v>
      </c>
      <c r="K85" s="14">
        <f>G85-183989</f>
        <v>196011</v>
      </c>
      <c r="L85" s="14">
        <v>98088</v>
      </c>
      <c r="M85" s="29">
        <v>0</v>
      </c>
      <c r="N85" s="33">
        <v>0</v>
      </c>
      <c r="O85" s="38">
        <v>10.02</v>
      </c>
      <c r="P85" s="38">
        <v>10.02</v>
      </c>
      <c r="Q85" s="14" t="e">
        <f t="shared" si="9"/>
        <v>#DIV/0!</v>
      </c>
      <c r="R85" s="14">
        <f t="shared" si="10"/>
        <v>19561.976047904191</v>
      </c>
      <c r="S85" s="43">
        <f t="shared" si="11"/>
        <v>0.44908117648999518</v>
      </c>
      <c r="T85" s="38">
        <v>0</v>
      </c>
      <c r="U85" s="5" t="s">
        <v>29</v>
      </c>
      <c r="V85" t="s">
        <v>292</v>
      </c>
      <c r="X85" t="s">
        <v>31</v>
      </c>
      <c r="Y85" s="6" t="s">
        <v>32</v>
      </c>
    </row>
    <row r="86" spans="1:25" x14ac:dyDescent="0.25">
      <c r="A86" t="s">
        <v>260</v>
      </c>
      <c r="B86" t="s">
        <v>261</v>
      </c>
      <c r="C86" s="24">
        <v>44728</v>
      </c>
      <c r="D86" s="14">
        <v>516000</v>
      </c>
      <c r="E86" t="s">
        <v>27</v>
      </c>
      <c r="F86" t="s">
        <v>28</v>
      </c>
      <c r="G86" s="14">
        <v>516000</v>
      </c>
      <c r="H86" s="14">
        <v>205100</v>
      </c>
      <c r="I86" s="19">
        <f t="shared" si="8"/>
        <v>39.748062015503876</v>
      </c>
      <c r="J86" s="14">
        <v>410230</v>
      </c>
      <c r="K86" s="14">
        <f>G86-312054</f>
        <v>203946</v>
      </c>
      <c r="L86" s="14">
        <v>98176</v>
      </c>
      <c r="M86" s="29">
        <v>0</v>
      </c>
      <c r="N86" s="33">
        <v>0</v>
      </c>
      <c r="O86" s="38">
        <v>10.039999999999999</v>
      </c>
      <c r="P86" s="38">
        <v>10.039999999999999</v>
      </c>
      <c r="Q86" s="14" t="e">
        <f t="shared" si="9"/>
        <v>#DIV/0!</v>
      </c>
      <c r="R86" s="14">
        <f t="shared" si="10"/>
        <v>20313.346613545818</v>
      </c>
      <c r="S86" s="43">
        <f t="shared" si="11"/>
        <v>0.46633027120169462</v>
      </c>
      <c r="T86" s="38">
        <v>0</v>
      </c>
      <c r="U86" s="5" t="s">
        <v>29</v>
      </c>
      <c r="V86" t="s">
        <v>262</v>
      </c>
      <c r="X86" t="s">
        <v>31</v>
      </c>
      <c r="Y86" s="6" t="s">
        <v>32</v>
      </c>
    </row>
    <row r="87" spans="1:25" x14ac:dyDescent="0.25">
      <c r="A87" t="s">
        <v>296</v>
      </c>
      <c r="B87" t="s">
        <v>297</v>
      </c>
      <c r="C87" s="24">
        <v>44362</v>
      </c>
      <c r="D87" s="14">
        <v>528000</v>
      </c>
      <c r="E87" t="s">
        <v>27</v>
      </c>
      <c r="F87" t="s">
        <v>28</v>
      </c>
      <c r="G87" s="14">
        <v>528000</v>
      </c>
      <c r="H87" s="14">
        <v>270200</v>
      </c>
      <c r="I87" s="19">
        <f t="shared" si="8"/>
        <v>51.174242424242422</v>
      </c>
      <c r="J87" s="14">
        <v>540378</v>
      </c>
      <c r="K87" s="14">
        <f>G87-442114</f>
        <v>85886</v>
      </c>
      <c r="L87" s="14">
        <v>98264</v>
      </c>
      <c r="M87" s="29">
        <v>0</v>
      </c>
      <c r="N87" s="33">
        <v>0</v>
      </c>
      <c r="O87" s="38">
        <v>10.06</v>
      </c>
      <c r="P87" s="38">
        <v>10.06</v>
      </c>
      <c r="Q87" s="14" t="e">
        <f t="shared" si="9"/>
        <v>#DIV/0!</v>
      </c>
      <c r="R87" s="14">
        <f t="shared" si="10"/>
        <v>8537.3757455268387</v>
      </c>
      <c r="S87" s="43">
        <f t="shared" si="11"/>
        <v>0.19599117873110281</v>
      </c>
      <c r="T87" s="38">
        <v>0</v>
      </c>
      <c r="U87" s="5" t="s">
        <v>29</v>
      </c>
      <c r="V87" t="s">
        <v>298</v>
      </c>
      <c r="X87" t="s">
        <v>31</v>
      </c>
      <c r="Y87" s="6" t="s">
        <v>32</v>
      </c>
    </row>
    <row r="88" spans="1:25" x14ac:dyDescent="0.25">
      <c r="A88" t="s">
        <v>293</v>
      </c>
      <c r="B88" t="s">
        <v>294</v>
      </c>
      <c r="C88" s="24">
        <v>44532</v>
      </c>
      <c r="D88" s="14">
        <v>316000</v>
      </c>
      <c r="E88" t="s">
        <v>27</v>
      </c>
      <c r="F88" t="s">
        <v>28</v>
      </c>
      <c r="G88" s="14">
        <v>316000</v>
      </c>
      <c r="H88" s="14">
        <v>141000</v>
      </c>
      <c r="I88" s="19">
        <f t="shared" si="8"/>
        <v>44.620253164556964</v>
      </c>
      <c r="J88" s="14">
        <v>282000</v>
      </c>
      <c r="K88" s="14">
        <f>G88-183692</f>
        <v>132308</v>
      </c>
      <c r="L88" s="14">
        <v>98308</v>
      </c>
      <c r="M88" s="29">
        <v>0</v>
      </c>
      <c r="N88" s="33">
        <v>0</v>
      </c>
      <c r="O88" s="38">
        <v>10.07</v>
      </c>
      <c r="P88" s="38">
        <v>10.07</v>
      </c>
      <c r="Q88" s="14" t="e">
        <f t="shared" si="9"/>
        <v>#DIV/0!</v>
      </c>
      <c r="R88" s="14">
        <f t="shared" si="10"/>
        <v>13138.828202581926</v>
      </c>
      <c r="S88" s="43">
        <f t="shared" si="11"/>
        <v>0.30162599179481003</v>
      </c>
      <c r="T88" s="38">
        <v>0</v>
      </c>
      <c r="U88" s="5" t="s">
        <v>29</v>
      </c>
      <c r="V88" t="s">
        <v>295</v>
      </c>
      <c r="X88" t="s">
        <v>31</v>
      </c>
      <c r="Y88" s="6" t="s">
        <v>32</v>
      </c>
    </row>
    <row r="89" spans="1:25" x14ac:dyDescent="0.25">
      <c r="A89" t="s">
        <v>36</v>
      </c>
      <c r="B89" t="s">
        <v>37</v>
      </c>
      <c r="C89" s="24">
        <v>44659</v>
      </c>
      <c r="D89" s="14">
        <v>451000</v>
      </c>
      <c r="E89" t="s">
        <v>27</v>
      </c>
      <c r="F89" t="s">
        <v>28</v>
      </c>
      <c r="G89" s="14">
        <v>451000</v>
      </c>
      <c r="H89" s="14">
        <v>199700</v>
      </c>
      <c r="I89" s="19">
        <f t="shared" si="8"/>
        <v>44.27937915742794</v>
      </c>
      <c r="J89" s="14">
        <v>399319</v>
      </c>
      <c r="K89" s="14">
        <f>G89-300615</f>
        <v>150385</v>
      </c>
      <c r="L89" s="14">
        <v>98704</v>
      </c>
      <c r="M89" s="29">
        <v>0</v>
      </c>
      <c r="N89" s="33">
        <v>0</v>
      </c>
      <c r="O89" s="38">
        <v>10.16</v>
      </c>
      <c r="P89" s="38">
        <v>10.16</v>
      </c>
      <c r="Q89" s="14" t="e">
        <f t="shared" si="9"/>
        <v>#DIV/0!</v>
      </c>
      <c r="R89" s="14">
        <f t="shared" si="10"/>
        <v>14801.673228346457</v>
      </c>
      <c r="S89" s="43">
        <f t="shared" si="11"/>
        <v>0.33979966088949626</v>
      </c>
      <c r="T89" s="38">
        <v>0</v>
      </c>
      <c r="U89" s="5" t="s">
        <v>29</v>
      </c>
      <c r="V89" t="s">
        <v>38</v>
      </c>
      <c r="X89" t="s">
        <v>31</v>
      </c>
      <c r="Y89" s="6" t="s">
        <v>32</v>
      </c>
    </row>
    <row r="90" spans="1:25" x14ac:dyDescent="0.25">
      <c r="A90" t="s">
        <v>272</v>
      </c>
      <c r="B90" t="s">
        <v>273</v>
      </c>
      <c r="C90" s="24">
        <v>44439</v>
      </c>
      <c r="D90" s="14">
        <v>290000</v>
      </c>
      <c r="E90" t="s">
        <v>27</v>
      </c>
      <c r="F90" t="s">
        <v>28</v>
      </c>
      <c r="G90" s="14">
        <v>290000</v>
      </c>
      <c r="H90" s="14">
        <v>113500</v>
      </c>
      <c r="I90" s="19">
        <f t="shared" si="8"/>
        <v>39.137931034482762</v>
      </c>
      <c r="J90" s="14">
        <v>227021</v>
      </c>
      <c r="K90" s="14">
        <f>G90-142337</f>
        <v>147663</v>
      </c>
      <c r="L90" s="14">
        <v>84684</v>
      </c>
      <c r="M90" s="29">
        <v>0</v>
      </c>
      <c r="N90" s="33">
        <v>0</v>
      </c>
      <c r="O90" s="38">
        <v>10.37</v>
      </c>
      <c r="P90" s="38">
        <v>10.37</v>
      </c>
      <c r="Q90" s="14" t="e">
        <f t="shared" si="9"/>
        <v>#DIV/0!</v>
      </c>
      <c r="R90" s="14">
        <f t="shared" si="10"/>
        <v>14239.440694310511</v>
      </c>
      <c r="S90" s="43">
        <f t="shared" si="11"/>
        <v>0.3268925779226472</v>
      </c>
      <c r="T90" s="38">
        <v>0</v>
      </c>
      <c r="U90" s="5" t="s">
        <v>29</v>
      </c>
      <c r="V90" t="s">
        <v>274</v>
      </c>
      <c r="X90" t="s">
        <v>31</v>
      </c>
      <c r="Y90" s="6" t="s">
        <v>32</v>
      </c>
    </row>
    <row r="91" spans="1:25" x14ac:dyDescent="0.25">
      <c r="A91" t="s">
        <v>278</v>
      </c>
      <c r="B91" t="s">
        <v>279</v>
      </c>
      <c r="C91" s="24">
        <v>44518</v>
      </c>
      <c r="D91" s="14">
        <v>495000</v>
      </c>
      <c r="E91" t="s">
        <v>27</v>
      </c>
      <c r="F91" t="s">
        <v>28</v>
      </c>
      <c r="G91" s="14">
        <v>495000</v>
      </c>
      <c r="H91" s="14">
        <v>279200</v>
      </c>
      <c r="I91" s="19">
        <f t="shared" si="8"/>
        <v>56.404040404040401</v>
      </c>
      <c r="J91" s="14">
        <v>558441</v>
      </c>
      <c r="K91" s="14">
        <f>G91-451685</f>
        <v>43315</v>
      </c>
      <c r="L91" s="14">
        <v>106756</v>
      </c>
      <c r="M91" s="29">
        <v>0</v>
      </c>
      <c r="N91" s="33">
        <v>0</v>
      </c>
      <c r="O91" s="38">
        <v>11.99</v>
      </c>
      <c r="P91" s="38">
        <v>11.99</v>
      </c>
      <c r="Q91" s="14" t="e">
        <f t="shared" si="9"/>
        <v>#DIV/0!</v>
      </c>
      <c r="R91" s="14">
        <f t="shared" si="10"/>
        <v>3612.5938281901585</v>
      </c>
      <c r="S91" s="43">
        <f t="shared" si="11"/>
        <v>8.2933742612262593E-2</v>
      </c>
      <c r="T91" s="38">
        <v>0</v>
      </c>
      <c r="U91" s="5" t="s">
        <v>29</v>
      </c>
      <c r="V91" t="s">
        <v>280</v>
      </c>
      <c r="X91" t="s">
        <v>31</v>
      </c>
      <c r="Y91" s="6" t="s">
        <v>32</v>
      </c>
    </row>
    <row r="92" spans="1:25" x14ac:dyDescent="0.25">
      <c r="A92" t="s">
        <v>141</v>
      </c>
      <c r="B92" t="s">
        <v>142</v>
      </c>
      <c r="C92" s="24">
        <v>45007</v>
      </c>
      <c r="D92" s="14">
        <v>525000</v>
      </c>
      <c r="E92" t="s">
        <v>27</v>
      </c>
      <c r="F92" t="s">
        <v>28</v>
      </c>
      <c r="G92" s="14">
        <v>525000</v>
      </c>
      <c r="H92" s="14">
        <v>237900</v>
      </c>
      <c r="I92" s="19">
        <f t="shared" si="8"/>
        <v>45.31428571428571</v>
      </c>
      <c r="J92" s="14">
        <v>475739</v>
      </c>
      <c r="K92" s="14">
        <f>G92-363439</f>
        <v>161561</v>
      </c>
      <c r="L92" s="14">
        <v>112300</v>
      </c>
      <c r="M92" s="29">
        <v>0</v>
      </c>
      <c r="N92" s="33">
        <v>0</v>
      </c>
      <c r="O92" s="38">
        <v>13.25</v>
      </c>
      <c r="P92" s="38">
        <v>13.25</v>
      </c>
      <c r="Q92" s="14" t="e">
        <f t="shared" si="9"/>
        <v>#DIV/0!</v>
      </c>
      <c r="R92" s="14">
        <f t="shared" si="10"/>
        <v>12193.283018867925</v>
      </c>
      <c r="S92" s="43">
        <f t="shared" si="11"/>
        <v>0.27991926122286331</v>
      </c>
      <c r="T92" s="38">
        <v>0</v>
      </c>
      <c r="U92" s="5" t="s">
        <v>29</v>
      </c>
      <c r="V92" t="s">
        <v>143</v>
      </c>
      <c r="X92" t="s">
        <v>31</v>
      </c>
      <c r="Y92" s="6" t="s">
        <v>32</v>
      </c>
    </row>
    <row r="93" spans="1:25" x14ac:dyDescent="0.25">
      <c r="A93" t="s">
        <v>159</v>
      </c>
      <c r="B93" t="s">
        <v>160</v>
      </c>
      <c r="C93" s="24">
        <v>44914</v>
      </c>
      <c r="D93" s="14">
        <v>300750</v>
      </c>
      <c r="E93" t="s">
        <v>27</v>
      </c>
      <c r="F93" t="s">
        <v>42</v>
      </c>
      <c r="G93" s="14">
        <v>300750</v>
      </c>
      <c r="H93" s="14">
        <v>164700</v>
      </c>
      <c r="I93" s="19">
        <f t="shared" si="8"/>
        <v>54.763092269326684</v>
      </c>
      <c r="J93" s="14">
        <v>329362</v>
      </c>
      <c r="K93" s="14">
        <f>G93-136762</f>
        <v>163988</v>
      </c>
      <c r="L93" s="14">
        <v>192600</v>
      </c>
      <c r="M93" s="29">
        <v>0</v>
      </c>
      <c r="N93" s="33">
        <v>0</v>
      </c>
      <c r="O93" s="38">
        <v>13.5</v>
      </c>
      <c r="P93" s="38">
        <v>1</v>
      </c>
      <c r="Q93" s="14" t="e">
        <f t="shared" si="9"/>
        <v>#DIV/0!</v>
      </c>
      <c r="R93" s="14">
        <f t="shared" si="10"/>
        <v>12147.259259259259</v>
      </c>
      <c r="S93" s="43">
        <f t="shared" si="11"/>
        <v>0.27886270108492328</v>
      </c>
      <c r="T93" s="38">
        <v>0</v>
      </c>
      <c r="U93" s="5" t="s">
        <v>29</v>
      </c>
      <c r="V93" t="s">
        <v>161</v>
      </c>
      <c r="W93" t="s">
        <v>162</v>
      </c>
      <c r="X93" t="s">
        <v>31</v>
      </c>
      <c r="Y93" s="6" t="s">
        <v>32</v>
      </c>
    </row>
    <row r="94" spans="1:25" x14ac:dyDescent="0.25">
      <c r="A94" t="s">
        <v>204</v>
      </c>
      <c r="B94" t="s">
        <v>205</v>
      </c>
      <c r="C94" s="24">
        <v>45198</v>
      </c>
      <c r="D94" s="14">
        <v>270000</v>
      </c>
      <c r="E94" t="s">
        <v>27</v>
      </c>
      <c r="F94" t="s">
        <v>28</v>
      </c>
      <c r="G94" s="14">
        <v>270000</v>
      </c>
      <c r="H94" s="14">
        <v>104700</v>
      </c>
      <c r="I94" s="19">
        <f t="shared" si="8"/>
        <v>38.777777777777779</v>
      </c>
      <c r="J94" s="14">
        <v>209446</v>
      </c>
      <c r="K94" s="14">
        <f>G94-88270</f>
        <v>181730</v>
      </c>
      <c r="L94" s="14">
        <v>121176</v>
      </c>
      <c r="M94" s="29">
        <v>0</v>
      </c>
      <c r="N94" s="33">
        <v>0</v>
      </c>
      <c r="O94" s="38">
        <v>15.98</v>
      </c>
      <c r="P94" s="38">
        <v>15.98</v>
      </c>
      <c r="Q94" s="14" t="e">
        <f t="shared" si="9"/>
        <v>#DIV/0!</v>
      </c>
      <c r="R94" s="14">
        <f t="shared" si="10"/>
        <v>11372.340425531915</v>
      </c>
      <c r="S94" s="43">
        <f t="shared" si="11"/>
        <v>0.26107301252368947</v>
      </c>
      <c r="T94" s="38">
        <v>0</v>
      </c>
      <c r="U94" s="5" t="s">
        <v>29</v>
      </c>
      <c r="V94" t="s">
        <v>206</v>
      </c>
      <c r="X94" t="s">
        <v>31</v>
      </c>
      <c r="Y94" s="6" t="s">
        <v>32</v>
      </c>
    </row>
    <row r="95" spans="1:25" x14ac:dyDescent="0.25">
      <c r="A95" t="s">
        <v>110</v>
      </c>
      <c r="B95" t="s">
        <v>111</v>
      </c>
      <c r="C95" s="24">
        <v>44589</v>
      </c>
      <c r="D95" s="14">
        <v>120000</v>
      </c>
      <c r="E95" t="s">
        <v>27</v>
      </c>
      <c r="F95" t="s">
        <v>28</v>
      </c>
      <c r="G95" s="14">
        <v>120000</v>
      </c>
      <c r="H95" s="14">
        <v>62700</v>
      </c>
      <c r="I95" s="19">
        <f t="shared" si="8"/>
        <v>52.25</v>
      </c>
      <c r="J95" s="14">
        <v>125352</v>
      </c>
      <c r="K95" s="14">
        <f>G95-0</f>
        <v>120000</v>
      </c>
      <c r="L95" s="14">
        <v>125352</v>
      </c>
      <c r="M95" s="29">
        <v>0</v>
      </c>
      <c r="N95" s="33">
        <v>0</v>
      </c>
      <c r="O95" s="38">
        <v>19.46</v>
      </c>
      <c r="P95" s="38">
        <v>19.46</v>
      </c>
      <c r="Q95" s="14" t="e">
        <f t="shared" si="9"/>
        <v>#DIV/0!</v>
      </c>
      <c r="R95" s="14">
        <f t="shared" si="10"/>
        <v>6166.4953751284684</v>
      </c>
      <c r="S95" s="43">
        <f t="shared" si="11"/>
        <v>0.14156325470910167</v>
      </c>
      <c r="T95" s="38">
        <v>0</v>
      </c>
      <c r="U95" s="5" t="s">
        <v>29</v>
      </c>
      <c r="V95" t="s">
        <v>112</v>
      </c>
      <c r="X95" t="s">
        <v>31</v>
      </c>
      <c r="Y95" s="6" t="s">
        <v>113</v>
      </c>
    </row>
    <row r="96" spans="1:25" x14ac:dyDescent="0.25">
      <c r="A96" t="s">
        <v>89</v>
      </c>
      <c r="B96" t="s">
        <v>90</v>
      </c>
      <c r="C96" s="24">
        <v>44622</v>
      </c>
      <c r="D96" s="14">
        <v>750000</v>
      </c>
      <c r="E96" t="s">
        <v>27</v>
      </c>
      <c r="F96" t="s">
        <v>28</v>
      </c>
      <c r="G96" s="14">
        <v>750000</v>
      </c>
      <c r="H96" s="14">
        <v>424200</v>
      </c>
      <c r="I96" s="19">
        <f t="shared" si="8"/>
        <v>56.56</v>
      </c>
      <c r="J96" s="14">
        <v>848464</v>
      </c>
      <c r="K96" s="14">
        <f>G96-722401</f>
        <v>27599</v>
      </c>
      <c r="L96" s="14">
        <v>126063</v>
      </c>
      <c r="M96" s="29">
        <v>0</v>
      </c>
      <c r="N96" s="33">
        <v>0</v>
      </c>
      <c r="O96" s="38">
        <v>20.21</v>
      </c>
      <c r="P96" s="38">
        <v>20.21</v>
      </c>
      <c r="Q96" s="14" t="e">
        <f t="shared" si="9"/>
        <v>#DIV/0!</v>
      </c>
      <c r="R96" s="14">
        <f t="shared" si="10"/>
        <v>1365.6110836219693</v>
      </c>
      <c r="S96" s="43">
        <f t="shared" si="11"/>
        <v>3.1350116703901962E-2</v>
      </c>
      <c r="T96" s="38">
        <v>0</v>
      </c>
      <c r="U96" s="5" t="s">
        <v>29</v>
      </c>
      <c r="V96" t="s">
        <v>91</v>
      </c>
      <c r="X96" t="s">
        <v>31</v>
      </c>
      <c r="Y96" s="6" t="s">
        <v>32</v>
      </c>
    </row>
    <row r="97" spans="1:45" x14ac:dyDescent="0.25">
      <c r="A97" t="s">
        <v>338</v>
      </c>
      <c r="B97" t="s">
        <v>339</v>
      </c>
      <c r="C97" s="24">
        <v>44712</v>
      </c>
      <c r="D97" s="14">
        <v>145000</v>
      </c>
      <c r="E97" t="s">
        <v>340</v>
      </c>
      <c r="F97" t="s">
        <v>28</v>
      </c>
      <c r="G97" s="14">
        <v>145000</v>
      </c>
      <c r="H97" s="14">
        <v>55500</v>
      </c>
      <c r="I97" s="19">
        <f t="shared" si="8"/>
        <v>38.275862068965516</v>
      </c>
      <c r="J97" s="14">
        <v>110933</v>
      </c>
      <c r="K97" s="14">
        <f>G97-15420</f>
        <v>129580</v>
      </c>
      <c r="L97" s="14">
        <v>95513</v>
      </c>
      <c r="M97" s="29">
        <v>0</v>
      </c>
      <c r="N97" s="33">
        <v>0</v>
      </c>
      <c r="O97" s="38">
        <v>24.5</v>
      </c>
      <c r="P97" s="38">
        <v>24.5</v>
      </c>
      <c r="Q97" s="14" t="e">
        <f t="shared" si="9"/>
        <v>#DIV/0!</v>
      </c>
      <c r="R97" s="14">
        <f t="shared" si="10"/>
        <v>5288.9795918367345</v>
      </c>
      <c r="S97" s="43">
        <f t="shared" si="11"/>
        <v>0.12141826427540713</v>
      </c>
      <c r="T97" s="38">
        <v>0</v>
      </c>
      <c r="U97" s="5" t="s">
        <v>29</v>
      </c>
      <c r="V97" t="s">
        <v>341</v>
      </c>
      <c r="X97" t="s">
        <v>31</v>
      </c>
      <c r="Y97" s="6" t="s">
        <v>32</v>
      </c>
    </row>
    <row r="98" spans="1:45" x14ac:dyDescent="0.25">
      <c r="A98" t="s">
        <v>242</v>
      </c>
      <c r="B98" t="s">
        <v>243</v>
      </c>
      <c r="C98" s="24">
        <v>44833</v>
      </c>
      <c r="D98" s="14">
        <v>455000</v>
      </c>
      <c r="E98" t="s">
        <v>27</v>
      </c>
      <c r="F98" t="s">
        <v>28</v>
      </c>
      <c r="G98" s="14">
        <v>455000</v>
      </c>
      <c r="H98" s="14">
        <v>178700</v>
      </c>
      <c r="I98" s="19">
        <f t="shared" si="8"/>
        <v>39.274725274725277</v>
      </c>
      <c r="J98" s="14">
        <v>357394</v>
      </c>
      <c r="K98" s="14">
        <f>G98-228910</f>
        <v>226090</v>
      </c>
      <c r="L98" s="14">
        <v>128484</v>
      </c>
      <c r="M98" s="29">
        <v>0</v>
      </c>
      <c r="N98" s="33">
        <v>0</v>
      </c>
      <c r="O98" s="38">
        <v>28.28</v>
      </c>
      <c r="P98" s="38">
        <v>28.28</v>
      </c>
      <c r="Q98" s="14" t="e">
        <f t="shared" si="9"/>
        <v>#DIV/0!</v>
      </c>
      <c r="R98" s="14">
        <f t="shared" si="10"/>
        <v>7994.6958981612443</v>
      </c>
      <c r="S98" s="43">
        <f t="shared" si="11"/>
        <v>0.18353296368597899</v>
      </c>
      <c r="T98" s="38">
        <v>0</v>
      </c>
      <c r="U98" s="5" t="s">
        <v>29</v>
      </c>
      <c r="V98" t="s">
        <v>244</v>
      </c>
      <c r="X98" t="s">
        <v>31</v>
      </c>
      <c r="Y98" s="6" t="s">
        <v>32</v>
      </c>
    </row>
    <row r="99" spans="1:45" x14ac:dyDescent="0.25">
      <c r="A99" t="s">
        <v>166</v>
      </c>
      <c r="B99" t="s">
        <v>167</v>
      </c>
      <c r="C99" s="24">
        <v>45000</v>
      </c>
      <c r="D99" s="14">
        <v>365000</v>
      </c>
      <c r="E99" t="s">
        <v>27</v>
      </c>
      <c r="F99" t="s">
        <v>28</v>
      </c>
      <c r="G99" s="14">
        <v>365000</v>
      </c>
      <c r="H99" s="14">
        <v>157200</v>
      </c>
      <c r="I99" s="19">
        <f t="shared" ref="I99:I100" si="12">H99/G99*100</f>
        <v>43.068493150684937</v>
      </c>
      <c r="J99" s="14">
        <v>314321</v>
      </c>
      <c r="K99" s="14">
        <f>G99-184876</f>
        <v>180124</v>
      </c>
      <c r="L99" s="14">
        <v>129445</v>
      </c>
      <c r="M99" s="29">
        <v>0</v>
      </c>
      <c r="N99" s="33">
        <v>0</v>
      </c>
      <c r="O99" s="38">
        <v>34.450000000000003</v>
      </c>
      <c r="P99" s="38">
        <v>34.450000000000003</v>
      </c>
      <c r="Q99" s="14" t="e">
        <f t="shared" si="9"/>
        <v>#DIV/0!</v>
      </c>
      <c r="R99" s="14">
        <f t="shared" si="10"/>
        <v>5228.5631349782288</v>
      </c>
      <c r="S99" s="43">
        <f t="shared" si="11"/>
        <v>0.12003129327314575</v>
      </c>
      <c r="T99" s="38">
        <v>0</v>
      </c>
      <c r="U99" s="5" t="s">
        <v>29</v>
      </c>
      <c r="V99" t="s">
        <v>168</v>
      </c>
      <c r="X99" t="s">
        <v>31</v>
      </c>
      <c r="Y99" s="6" t="s">
        <v>32</v>
      </c>
    </row>
    <row r="100" spans="1:45" ht="15.75" thickBot="1" x14ac:dyDescent="0.3">
      <c r="A100" t="s">
        <v>329</v>
      </c>
      <c r="B100" t="s">
        <v>330</v>
      </c>
      <c r="C100" s="24">
        <v>45070</v>
      </c>
      <c r="D100" s="14">
        <v>220000</v>
      </c>
      <c r="E100" t="s">
        <v>27</v>
      </c>
      <c r="F100" t="s">
        <v>28</v>
      </c>
      <c r="G100" s="14">
        <v>220000</v>
      </c>
      <c r="H100" s="14">
        <v>65300</v>
      </c>
      <c r="I100" s="19">
        <f t="shared" si="12"/>
        <v>29.68181818181818</v>
      </c>
      <c r="J100" s="14">
        <v>130600</v>
      </c>
      <c r="K100" s="14">
        <f>G100-0</f>
        <v>220000</v>
      </c>
      <c r="L100" s="14">
        <v>130600</v>
      </c>
      <c r="M100" s="29">
        <v>0</v>
      </c>
      <c r="N100" s="33">
        <v>0</v>
      </c>
      <c r="O100" s="38">
        <v>42.4</v>
      </c>
      <c r="P100" s="38">
        <v>42.4</v>
      </c>
      <c r="Q100" s="14" t="e">
        <f t="shared" si="9"/>
        <v>#DIV/0!</v>
      </c>
      <c r="R100" s="14">
        <f t="shared" si="10"/>
        <v>5188.6792452830186</v>
      </c>
      <c r="S100" s="43">
        <f t="shared" si="11"/>
        <v>0.119115685153421</v>
      </c>
      <c r="T100" s="38">
        <v>0</v>
      </c>
      <c r="U100" s="5" t="s">
        <v>29</v>
      </c>
      <c r="V100" t="s">
        <v>331</v>
      </c>
      <c r="X100" t="s">
        <v>31</v>
      </c>
      <c r="Y100" s="6" t="s">
        <v>113</v>
      </c>
    </row>
    <row r="101" spans="1:45" ht="15.75" thickTop="1" x14ac:dyDescent="0.25">
      <c r="A101" s="7"/>
      <c r="B101" s="7"/>
      <c r="C101" s="25" t="s">
        <v>769</v>
      </c>
      <c r="D101" s="15">
        <f>+SUM(D3:D100)</f>
        <v>26122200</v>
      </c>
      <c r="E101" s="7"/>
      <c r="F101" s="7"/>
      <c r="G101" s="15">
        <f>+SUM(G3:G100)</f>
        <v>26122200</v>
      </c>
      <c r="H101" s="15">
        <f>+SUM(H3:H100)</f>
        <v>11697800</v>
      </c>
      <c r="I101" s="20"/>
      <c r="J101" s="15">
        <f>+SUM(J3:J100)</f>
        <v>23447691</v>
      </c>
      <c r="K101" s="15">
        <f>+SUM(K3:K100)</f>
        <v>9464734</v>
      </c>
      <c r="L101" s="15">
        <f>+SUM(L3:L100)</f>
        <v>6738225</v>
      </c>
      <c r="M101" s="30">
        <f>+SUM(M3:M100)</f>
        <v>0</v>
      </c>
      <c r="N101" s="34"/>
      <c r="O101" s="39">
        <f>+SUM(O3:O100)</f>
        <v>502.75399999999996</v>
      </c>
      <c r="P101" s="39">
        <f>+SUM(P3:P100)</f>
        <v>488.74399999999997</v>
      </c>
      <c r="Q101" s="15"/>
      <c r="R101" s="15"/>
      <c r="S101" s="44"/>
      <c r="T101" s="39"/>
      <c r="U101" s="8"/>
      <c r="V101" s="7"/>
      <c r="W101" s="7"/>
      <c r="X101" s="7"/>
      <c r="Y101" s="7"/>
    </row>
    <row r="102" spans="1:45" x14ac:dyDescent="0.25">
      <c r="A102" s="9"/>
      <c r="B102" s="9"/>
      <c r="C102" s="26"/>
      <c r="D102" s="16"/>
      <c r="E102" s="9"/>
      <c r="F102" s="9"/>
      <c r="G102" s="16"/>
      <c r="H102" s="16" t="s">
        <v>770</v>
      </c>
      <c r="I102" s="21">
        <f>H101/G101*100</f>
        <v>44.78106744454908</v>
      </c>
      <c r="J102" s="16"/>
      <c r="K102" s="16"/>
      <c r="L102" s="16" t="s">
        <v>771</v>
      </c>
      <c r="M102" s="31"/>
      <c r="N102" s="35"/>
      <c r="O102" s="40" t="s">
        <v>771</v>
      </c>
      <c r="P102" s="40"/>
      <c r="Q102" s="16"/>
      <c r="R102" s="16" t="s">
        <v>771</v>
      </c>
      <c r="S102" s="45"/>
      <c r="T102" s="40"/>
      <c r="U102" s="10"/>
      <c r="V102" s="9"/>
      <c r="W102" s="9"/>
      <c r="X102" s="9"/>
      <c r="Y102" s="9"/>
    </row>
    <row r="103" spans="1:45" x14ac:dyDescent="0.25">
      <c r="A103" s="11"/>
      <c r="B103" s="11"/>
      <c r="C103" s="27"/>
      <c r="D103" s="17"/>
      <c r="E103" s="11"/>
      <c r="F103" s="11"/>
      <c r="G103" s="17"/>
      <c r="H103" s="17" t="s">
        <v>772</v>
      </c>
      <c r="I103" s="22">
        <f>STDEV(I3:I100)</f>
        <v>10.319385695357969</v>
      </c>
      <c r="J103" s="17"/>
      <c r="K103" s="17"/>
      <c r="L103" s="17" t="s">
        <v>773</v>
      </c>
      <c r="M103" s="47" t="e">
        <f>K101/M101</f>
        <v>#DIV/0!</v>
      </c>
      <c r="N103" s="36"/>
      <c r="O103" s="41" t="s">
        <v>774</v>
      </c>
      <c r="P103" s="41">
        <f>K101/O101</f>
        <v>18825.775627841849</v>
      </c>
      <c r="Q103" s="17"/>
      <c r="R103" s="17" t="s">
        <v>775</v>
      </c>
      <c r="S103" s="46">
        <f>K101/O101/43560</f>
        <v>0.43218034040040976</v>
      </c>
      <c r="T103" s="41"/>
      <c r="U103" s="12"/>
      <c r="V103" s="11"/>
      <c r="W103" s="11"/>
      <c r="X103" s="11"/>
      <c r="Y103" s="11"/>
    </row>
    <row r="107" spans="1:45" x14ac:dyDescent="0.25">
      <c r="A107" s="48" t="s">
        <v>804</v>
      </c>
      <c r="C107"/>
      <c r="D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</row>
    <row r="108" spans="1:45" x14ac:dyDescent="0.25">
      <c r="A108" s="1" t="s">
        <v>0</v>
      </c>
      <c r="B108" s="1" t="s">
        <v>1</v>
      </c>
      <c r="C108" s="23" t="s">
        <v>2</v>
      </c>
      <c r="D108" s="13" t="s">
        <v>3</v>
      </c>
      <c r="E108" s="1" t="s">
        <v>4</v>
      </c>
      <c r="F108" s="1" t="s">
        <v>5</v>
      </c>
      <c r="G108" s="13" t="s">
        <v>6</v>
      </c>
      <c r="H108" s="13" t="s">
        <v>7</v>
      </c>
      <c r="I108" s="18" t="s">
        <v>8</v>
      </c>
      <c r="J108" s="13" t="s">
        <v>9</v>
      </c>
      <c r="K108" s="13" t="s">
        <v>10</v>
      </c>
      <c r="L108" s="13" t="s">
        <v>11</v>
      </c>
      <c r="M108" s="28" t="s">
        <v>12</v>
      </c>
      <c r="N108" s="32" t="s">
        <v>13</v>
      </c>
      <c r="O108" s="37" t="s">
        <v>14</v>
      </c>
      <c r="P108" s="37" t="s">
        <v>15</v>
      </c>
      <c r="Q108" s="13" t="s">
        <v>16</v>
      </c>
      <c r="R108" s="13" t="s">
        <v>17</v>
      </c>
      <c r="S108" s="42" t="s">
        <v>18</v>
      </c>
      <c r="T108" s="37" t="s">
        <v>19</v>
      </c>
      <c r="U108" s="3" t="s">
        <v>20</v>
      </c>
      <c r="V108" s="1" t="s">
        <v>21</v>
      </c>
      <c r="W108" s="1" t="s">
        <v>22</v>
      </c>
      <c r="X108" s="1" t="s">
        <v>23</v>
      </c>
      <c r="Y108" s="1" t="s">
        <v>24</v>
      </c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</row>
    <row r="109" spans="1:45" x14ac:dyDescent="0.25">
      <c r="A109" t="s">
        <v>101</v>
      </c>
      <c r="B109" t="s">
        <v>102</v>
      </c>
      <c r="C109" s="24">
        <v>44575</v>
      </c>
      <c r="D109" s="14">
        <v>165000</v>
      </c>
      <c r="E109" t="s">
        <v>27</v>
      </c>
      <c r="F109" t="s">
        <v>28</v>
      </c>
      <c r="G109" s="14">
        <v>165000</v>
      </c>
      <c r="H109" s="14">
        <v>93100</v>
      </c>
      <c r="I109" s="19">
        <f t="shared" ref="I109:I118" si="13">H109/G109*100</f>
        <v>56.424242424242422</v>
      </c>
      <c r="J109" s="14">
        <v>186263</v>
      </c>
      <c r="K109" s="14">
        <f>G109-154143</f>
        <v>10857</v>
      </c>
      <c r="L109" s="14">
        <v>32120</v>
      </c>
      <c r="M109" s="29">
        <v>0</v>
      </c>
      <c r="N109" s="33">
        <v>0</v>
      </c>
      <c r="O109" s="38">
        <v>1</v>
      </c>
      <c r="P109" s="38">
        <v>0.73</v>
      </c>
      <c r="Q109" s="14" t="e">
        <f t="shared" ref="Q109:Q118" si="14">K109/M109</f>
        <v>#DIV/0!</v>
      </c>
      <c r="R109" s="14">
        <f t="shared" ref="R109:R118" si="15">K109/O109</f>
        <v>10857</v>
      </c>
      <c r="S109" s="43">
        <f t="shared" ref="S109:S118" si="16">K109/O109/43560</f>
        <v>0.24924242424242424</v>
      </c>
      <c r="T109" s="38">
        <v>0</v>
      </c>
      <c r="U109" s="5" t="s">
        <v>29</v>
      </c>
      <c r="V109" t="s">
        <v>103</v>
      </c>
      <c r="X109" t="s">
        <v>31</v>
      </c>
      <c r="Y109" s="6" t="s">
        <v>32</v>
      </c>
    </row>
    <row r="110" spans="1:45" x14ac:dyDescent="0.25">
      <c r="A110" t="s">
        <v>569</v>
      </c>
      <c r="B110" t="s">
        <v>570</v>
      </c>
      <c r="C110" s="24">
        <v>45148</v>
      </c>
      <c r="D110" s="14">
        <v>230000</v>
      </c>
      <c r="E110" t="s">
        <v>27</v>
      </c>
      <c r="F110" t="s">
        <v>28</v>
      </c>
      <c r="G110" s="14">
        <v>230000</v>
      </c>
      <c r="H110" s="14">
        <v>112000</v>
      </c>
      <c r="I110" s="19">
        <f t="shared" si="13"/>
        <v>48.695652173913047</v>
      </c>
      <c r="J110" s="14">
        <v>223922</v>
      </c>
      <c r="K110" s="14">
        <f>G110-211162</f>
        <v>18838</v>
      </c>
      <c r="L110" s="14">
        <v>12760</v>
      </c>
      <c r="M110" s="29">
        <v>0</v>
      </c>
      <c r="N110" s="33">
        <v>0</v>
      </c>
      <c r="O110" s="38">
        <v>1</v>
      </c>
      <c r="P110" s="38">
        <v>0.28999999999999998</v>
      </c>
      <c r="Q110" s="14" t="e">
        <f t="shared" si="14"/>
        <v>#DIV/0!</v>
      </c>
      <c r="R110" s="14">
        <f t="shared" si="15"/>
        <v>18838</v>
      </c>
      <c r="S110" s="43">
        <f t="shared" si="16"/>
        <v>0.43246097337006428</v>
      </c>
      <c r="T110" s="38">
        <v>0</v>
      </c>
      <c r="U110" s="5" t="s">
        <v>29</v>
      </c>
      <c r="V110" t="s">
        <v>571</v>
      </c>
      <c r="X110" t="s">
        <v>31</v>
      </c>
      <c r="Y110" s="6" t="s">
        <v>32</v>
      </c>
    </row>
    <row r="111" spans="1:45" x14ac:dyDescent="0.25">
      <c r="A111" t="s">
        <v>189</v>
      </c>
      <c r="B111" t="s">
        <v>190</v>
      </c>
      <c r="C111" s="24">
        <v>44301</v>
      </c>
      <c r="D111" s="14">
        <v>228900</v>
      </c>
      <c r="E111" t="s">
        <v>27</v>
      </c>
      <c r="F111" t="s">
        <v>28</v>
      </c>
      <c r="G111" s="14">
        <v>228900</v>
      </c>
      <c r="H111" s="14">
        <v>122100</v>
      </c>
      <c r="I111" s="19">
        <f t="shared" si="13"/>
        <v>53.342070773263437</v>
      </c>
      <c r="J111" s="14">
        <v>244281</v>
      </c>
      <c r="K111" s="14">
        <f>G111-200281</f>
        <v>28619</v>
      </c>
      <c r="L111" s="14">
        <v>44000</v>
      </c>
      <c r="M111" s="29">
        <v>0</v>
      </c>
      <c r="N111" s="33">
        <v>0</v>
      </c>
      <c r="O111" s="38">
        <v>1</v>
      </c>
      <c r="P111" s="38">
        <v>1</v>
      </c>
      <c r="Q111" s="14" t="e">
        <f t="shared" si="14"/>
        <v>#DIV/0!</v>
      </c>
      <c r="R111" s="14">
        <f t="shared" si="15"/>
        <v>28619</v>
      </c>
      <c r="S111" s="43">
        <f t="shared" si="16"/>
        <v>0.65700183654729105</v>
      </c>
      <c r="T111" s="38">
        <v>0</v>
      </c>
      <c r="U111" s="5" t="s">
        <v>29</v>
      </c>
      <c r="V111" t="s">
        <v>191</v>
      </c>
      <c r="X111" t="s">
        <v>31</v>
      </c>
      <c r="Y111" s="6" t="s">
        <v>32</v>
      </c>
    </row>
    <row r="112" spans="1:45" x14ac:dyDescent="0.25">
      <c r="A112" t="s">
        <v>33</v>
      </c>
      <c r="B112" t="s">
        <v>34</v>
      </c>
      <c r="C112" s="24">
        <v>44897</v>
      </c>
      <c r="D112" s="14">
        <v>142400</v>
      </c>
      <c r="E112" t="s">
        <v>27</v>
      </c>
      <c r="F112" t="s">
        <v>28</v>
      </c>
      <c r="G112" s="14">
        <v>142400</v>
      </c>
      <c r="H112" s="14">
        <v>69200</v>
      </c>
      <c r="I112" s="19">
        <f t="shared" si="13"/>
        <v>48.59550561797753</v>
      </c>
      <c r="J112" s="14">
        <v>138336</v>
      </c>
      <c r="K112" s="14">
        <f>G112-97856</f>
        <v>44544</v>
      </c>
      <c r="L112" s="14">
        <v>40480</v>
      </c>
      <c r="M112" s="29">
        <v>0</v>
      </c>
      <c r="N112" s="33">
        <v>0</v>
      </c>
      <c r="O112" s="38">
        <v>1</v>
      </c>
      <c r="P112" s="38">
        <v>0.92</v>
      </c>
      <c r="Q112" s="14" t="e">
        <f t="shared" si="14"/>
        <v>#DIV/0!</v>
      </c>
      <c r="R112" s="14">
        <f t="shared" si="15"/>
        <v>44544</v>
      </c>
      <c r="S112" s="43">
        <f t="shared" si="16"/>
        <v>1.0225895316804408</v>
      </c>
      <c r="T112" s="38">
        <v>0</v>
      </c>
      <c r="U112" s="5" t="s">
        <v>29</v>
      </c>
      <c r="V112" t="s">
        <v>35</v>
      </c>
      <c r="X112" t="s">
        <v>31</v>
      </c>
      <c r="Y112" s="6" t="s">
        <v>32</v>
      </c>
    </row>
    <row r="113" spans="1:45" x14ac:dyDescent="0.25">
      <c r="A113" t="s">
        <v>263</v>
      </c>
      <c r="B113" t="s">
        <v>264</v>
      </c>
      <c r="C113" s="24">
        <v>44438</v>
      </c>
      <c r="D113" s="14">
        <v>156500</v>
      </c>
      <c r="E113" t="s">
        <v>27</v>
      </c>
      <c r="F113" t="s">
        <v>28</v>
      </c>
      <c r="G113" s="14">
        <v>156500</v>
      </c>
      <c r="H113" s="14">
        <v>77900</v>
      </c>
      <c r="I113" s="19">
        <f t="shared" si="13"/>
        <v>49.776357827476033</v>
      </c>
      <c r="J113" s="14">
        <v>155704</v>
      </c>
      <c r="K113" s="14">
        <f>G113-111704</f>
        <v>44796</v>
      </c>
      <c r="L113" s="14">
        <v>44000</v>
      </c>
      <c r="M113" s="29">
        <v>0</v>
      </c>
      <c r="N113" s="33">
        <v>0</v>
      </c>
      <c r="O113" s="38">
        <v>1</v>
      </c>
      <c r="P113" s="38">
        <v>1</v>
      </c>
      <c r="Q113" s="14" t="e">
        <f t="shared" si="14"/>
        <v>#DIV/0!</v>
      </c>
      <c r="R113" s="14">
        <f t="shared" si="15"/>
        <v>44796</v>
      </c>
      <c r="S113" s="43">
        <f t="shared" si="16"/>
        <v>1.028374655647383</v>
      </c>
      <c r="T113" s="38">
        <v>0</v>
      </c>
      <c r="U113" s="5" t="s">
        <v>29</v>
      </c>
      <c r="V113" t="s">
        <v>265</v>
      </c>
      <c r="X113" t="s">
        <v>31</v>
      </c>
      <c r="Y113" s="6" t="s">
        <v>32</v>
      </c>
    </row>
    <row r="114" spans="1:45" x14ac:dyDescent="0.25">
      <c r="A114" t="s">
        <v>183</v>
      </c>
      <c r="B114" t="s">
        <v>184</v>
      </c>
      <c r="C114" s="24">
        <v>44533</v>
      </c>
      <c r="D114" s="14">
        <v>142500</v>
      </c>
      <c r="E114" t="s">
        <v>27</v>
      </c>
      <c r="F114" t="s">
        <v>28</v>
      </c>
      <c r="G114" s="14">
        <v>142500</v>
      </c>
      <c r="H114" s="14">
        <v>54400</v>
      </c>
      <c r="I114" s="19">
        <f t="shared" si="13"/>
        <v>38.175438596491226</v>
      </c>
      <c r="J114" s="14">
        <v>108897</v>
      </c>
      <c r="K114" s="14">
        <f>G114-86897</f>
        <v>55603</v>
      </c>
      <c r="L114" s="14">
        <v>22000</v>
      </c>
      <c r="M114" s="29">
        <v>0</v>
      </c>
      <c r="N114" s="33">
        <v>0</v>
      </c>
      <c r="O114" s="38">
        <v>1</v>
      </c>
      <c r="P114" s="38">
        <v>0.5</v>
      </c>
      <c r="Q114" s="14" t="e">
        <f t="shared" si="14"/>
        <v>#DIV/0!</v>
      </c>
      <c r="R114" s="14">
        <f t="shared" si="15"/>
        <v>55603</v>
      </c>
      <c r="S114" s="43">
        <f t="shared" si="16"/>
        <v>1.2764692378328741</v>
      </c>
      <c r="T114" s="38">
        <v>0</v>
      </c>
      <c r="U114" s="5" t="s">
        <v>29</v>
      </c>
      <c r="V114" t="s">
        <v>185</v>
      </c>
      <c r="X114" t="s">
        <v>31</v>
      </c>
      <c r="Y114" s="6" t="s">
        <v>32</v>
      </c>
    </row>
    <row r="115" spans="1:45" x14ac:dyDescent="0.25">
      <c r="A115" t="s">
        <v>82</v>
      </c>
      <c r="B115" t="s">
        <v>83</v>
      </c>
      <c r="C115" s="24">
        <v>44662</v>
      </c>
      <c r="D115" s="14">
        <v>145000</v>
      </c>
      <c r="E115" t="s">
        <v>84</v>
      </c>
      <c r="F115" t="s">
        <v>28</v>
      </c>
      <c r="G115" s="14">
        <v>145000</v>
      </c>
      <c r="H115" s="14">
        <v>57500</v>
      </c>
      <c r="I115" s="19">
        <f t="shared" si="13"/>
        <v>39.655172413793103</v>
      </c>
      <c r="J115" s="14">
        <v>114963</v>
      </c>
      <c r="K115" s="14">
        <f>G115-88123</f>
        <v>56877</v>
      </c>
      <c r="L115" s="14">
        <v>26840</v>
      </c>
      <c r="M115" s="29">
        <v>0</v>
      </c>
      <c r="N115" s="33">
        <v>0</v>
      </c>
      <c r="O115" s="38">
        <v>1</v>
      </c>
      <c r="P115" s="38">
        <v>0.61</v>
      </c>
      <c r="Q115" s="14" t="e">
        <f t="shared" si="14"/>
        <v>#DIV/0!</v>
      </c>
      <c r="R115" s="14">
        <f t="shared" si="15"/>
        <v>56877</v>
      </c>
      <c r="S115" s="43">
        <f t="shared" si="16"/>
        <v>1.3057162534435263</v>
      </c>
      <c r="T115" s="38">
        <v>0</v>
      </c>
      <c r="U115" s="5" t="s">
        <v>29</v>
      </c>
      <c r="V115" t="s">
        <v>85</v>
      </c>
      <c r="X115" t="s">
        <v>31</v>
      </c>
      <c r="Y115" s="6" t="s">
        <v>32</v>
      </c>
    </row>
    <row r="116" spans="1:45" x14ac:dyDescent="0.25">
      <c r="A116" t="s">
        <v>186</v>
      </c>
      <c r="B116" t="s">
        <v>187</v>
      </c>
      <c r="C116" s="24">
        <v>45002</v>
      </c>
      <c r="D116" s="14">
        <v>183700</v>
      </c>
      <c r="E116" t="s">
        <v>27</v>
      </c>
      <c r="F116" t="s">
        <v>28</v>
      </c>
      <c r="G116" s="14">
        <v>183700</v>
      </c>
      <c r="H116" s="14">
        <v>81800</v>
      </c>
      <c r="I116" s="19">
        <f t="shared" si="13"/>
        <v>44.529123571039733</v>
      </c>
      <c r="J116" s="14">
        <v>163531</v>
      </c>
      <c r="K116" s="14">
        <f>G116-119531</f>
        <v>64169</v>
      </c>
      <c r="L116" s="14">
        <v>44000</v>
      </c>
      <c r="M116" s="29">
        <v>0</v>
      </c>
      <c r="N116" s="33">
        <v>0</v>
      </c>
      <c r="O116" s="38">
        <v>1</v>
      </c>
      <c r="P116" s="38">
        <v>1</v>
      </c>
      <c r="Q116" s="14" t="e">
        <f t="shared" si="14"/>
        <v>#DIV/0!</v>
      </c>
      <c r="R116" s="14">
        <f t="shared" si="15"/>
        <v>64169</v>
      </c>
      <c r="S116" s="43">
        <f t="shared" si="16"/>
        <v>1.47311753902663</v>
      </c>
      <c r="T116" s="38">
        <v>0</v>
      </c>
      <c r="U116" s="5" t="s">
        <v>29</v>
      </c>
      <c r="V116" t="s">
        <v>188</v>
      </c>
      <c r="X116" t="s">
        <v>31</v>
      </c>
      <c r="Y116" s="6" t="s">
        <v>32</v>
      </c>
    </row>
    <row r="117" spans="1:45" x14ac:dyDescent="0.25">
      <c r="A117" t="s">
        <v>299</v>
      </c>
      <c r="B117" t="s">
        <v>300</v>
      </c>
      <c r="C117" s="24">
        <v>44312</v>
      </c>
      <c r="D117" s="14">
        <v>183000</v>
      </c>
      <c r="E117" t="s">
        <v>27</v>
      </c>
      <c r="F117" t="s">
        <v>28</v>
      </c>
      <c r="G117" s="14">
        <v>183000</v>
      </c>
      <c r="H117" s="14">
        <v>79700</v>
      </c>
      <c r="I117" s="19">
        <f t="shared" si="13"/>
        <v>43.551912568306008</v>
      </c>
      <c r="J117" s="14">
        <v>159412</v>
      </c>
      <c r="K117" s="14">
        <f>G117-115412</f>
        <v>67588</v>
      </c>
      <c r="L117" s="14">
        <v>44000</v>
      </c>
      <c r="M117" s="29">
        <v>0</v>
      </c>
      <c r="N117" s="33">
        <v>0</v>
      </c>
      <c r="O117" s="38">
        <v>1</v>
      </c>
      <c r="P117" s="38">
        <v>1</v>
      </c>
      <c r="Q117" s="14" t="e">
        <f t="shared" si="14"/>
        <v>#DIV/0!</v>
      </c>
      <c r="R117" s="14">
        <f t="shared" si="15"/>
        <v>67588</v>
      </c>
      <c r="S117" s="43">
        <f t="shared" si="16"/>
        <v>1.5516069788797062</v>
      </c>
      <c r="T117" s="38">
        <v>0</v>
      </c>
      <c r="U117" s="5" t="s">
        <v>29</v>
      </c>
      <c r="V117" t="s">
        <v>301</v>
      </c>
      <c r="X117" t="s">
        <v>31</v>
      </c>
      <c r="Y117" s="6" t="s">
        <v>32</v>
      </c>
    </row>
    <row r="118" spans="1:45" ht="15.75" thickBot="1" x14ac:dyDescent="0.3">
      <c r="A118" t="s">
        <v>144</v>
      </c>
      <c r="B118" t="s">
        <v>145</v>
      </c>
      <c r="C118" s="24">
        <v>44944</v>
      </c>
      <c r="D118" s="14">
        <v>119900</v>
      </c>
      <c r="E118" t="s">
        <v>27</v>
      </c>
      <c r="F118" t="s">
        <v>28</v>
      </c>
      <c r="G118" s="14">
        <v>119900</v>
      </c>
      <c r="H118" s="14">
        <v>47400</v>
      </c>
      <c r="I118" s="19">
        <f t="shared" si="13"/>
        <v>39.532944120100083</v>
      </c>
      <c r="J118" s="14">
        <v>94875</v>
      </c>
      <c r="K118" s="14">
        <f>G118-52195</f>
        <v>67705</v>
      </c>
      <c r="L118" s="14">
        <v>42680</v>
      </c>
      <c r="M118" s="29">
        <v>0</v>
      </c>
      <c r="N118" s="33">
        <v>0</v>
      </c>
      <c r="O118" s="38">
        <v>1</v>
      </c>
      <c r="P118" s="38">
        <v>0.97</v>
      </c>
      <c r="Q118" s="14" t="e">
        <f t="shared" si="14"/>
        <v>#DIV/0!</v>
      </c>
      <c r="R118" s="14">
        <f t="shared" si="15"/>
        <v>67705</v>
      </c>
      <c r="S118" s="43">
        <f t="shared" si="16"/>
        <v>1.5542929292929293</v>
      </c>
      <c r="T118" s="38">
        <v>0</v>
      </c>
      <c r="U118" s="5" t="s">
        <v>29</v>
      </c>
      <c r="V118" t="s">
        <v>146</v>
      </c>
      <c r="X118" t="s">
        <v>31</v>
      </c>
      <c r="Y118" s="6" t="s">
        <v>32</v>
      </c>
    </row>
    <row r="119" spans="1:45" ht="15.75" thickTop="1" x14ac:dyDescent="0.25">
      <c r="A119" s="7"/>
      <c r="B119" s="7"/>
      <c r="C119" s="25" t="s">
        <v>769</v>
      </c>
      <c r="D119" s="15">
        <f>+SUM(D109:D118)</f>
        <v>1696900</v>
      </c>
      <c r="E119" s="7"/>
      <c r="F119" s="7"/>
      <c r="G119" s="15">
        <f>+SUM(G109:G118)</f>
        <v>1696900</v>
      </c>
      <c r="H119" s="15">
        <f>+SUM(H109:H118)</f>
        <v>795100</v>
      </c>
      <c r="I119" s="20"/>
      <c r="J119" s="15">
        <f>+SUM(J109:J118)</f>
        <v>1590184</v>
      </c>
      <c r="K119" s="15">
        <f>+SUM(K109:K118)</f>
        <v>459596</v>
      </c>
      <c r="L119" s="15">
        <f>+SUM(L109:L118)</f>
        <v>352880</v>
      </c>
      <c r="M119" s="30">
        <f>+SUM(M109:M118)</f>
        <v>0</v>
      </c>
      <c r="N119" s="34"/>
      <c r="O119" s="39">
        <f>+SUM(O109:O118)</f>
        <v>10</v>
      </c>
      <c r="P119" s="39">
        <f>+SUM(P109:P118)</f>
        <v>8.02</v>
      </c>
      <c r="Q119" s="15"/>
      <c r="R119" s="15"/>
      <c r="S119" s="44"/>
      <c r="T119" s="39"/>
      <c r="U119" s="8"/>
      <c r="V119" s="7"/>
      <c r="W119" s="7"/>
      <c r="X119" s="7"/>
      <c r="Y119" s="7"/>
    </row>
    <row r="120" spans="1:45" x14ac:dyDescent="0.25">
      <c r="A120" s="9"/>
      <c r="B120" s="9"/>
      <c r="C120" s="26"/>
      <c r="D120" s="16"/>
      <c r="E120" s="9"/>
      <c r="F120" s="9"/>
      <c r="G120" s="16"/>
      <c r="H120" s="16" t="s">
        <v>770</v>
      </c>
      <c r="I120" s="21">
        <f>H119/G119*100</f>
        <v>46.856031587011607</v>
      </c>
      <c r="J120" s="16"/>
      <c r="K120" s="16"/>
      <c r="L120" s="16" t="s">
        <v>771</v>
      </c>
      <c r="M120" s="31"/>
      <c r="N120" s="35"/>
      <c r="O120" s="40" t="s">
        <v>771</v>
      </c>
      <c r="P120" s="40"/>
      <c r="Q120" s="16"/>
      <c r="R120" s="16" t="s">
        <v>771</v>
      </c>
      <c r="S120" s="45"/>
      <c r="T120" s="40"/>
      <c r="U120" s="10"/>
      <c r="V120" s="9"/>
      <c r="W120" s="9"/>
      <c r="X120" s="9"/>
      <c r="Y120" s="9"/>
    </row>
    <row r="121" spans="1:45" x14ac:dyDescent="0.25">
      <c r="A121" s="11"/>
      <c r="B121" s="11"/>
      <c r="C121" s="27"/>
      <c r="D121" s="17"/>
      <c r="E121" s="11"/>
      <c r="F121" s="11"/>
      <c r="G121" s="17"/>
      <c r="H121" s="17" t="s">
        <v>772</v>
      </c>
      <c r="I121" s="22">
        <f>STDEV(I109:I118)</f>
        <v>6.1623931282047133</v>
      </c>
      <c r="J121" s="17"/>
      <c r="K121" s="17"/>
      <c r="L121" s="17" t="s">
        <v>773</v>
      </c>
      <c r="M121" s="47" t="e">
        <f>K119/M119</f>
        <v>#DIV/0!</v>
      </c>
      <c r="N121" s="36"/>
      <c r="O121" s="41" t="s">
        <v>774</v>
      </c>
      <c r="P121" s="41">
        <f>K119/O119</f>
        <v>45959.6</v>
      </c>
      <c r="Q121" s="17"/>
      <c r="R121" s="17" t="s">
        <v>775</v>
      </c>
      <c r="S121" s="46">
        <f>K119/O119/43560</f>
        <v>1.0550872359963268</v>
      </c>
      <c r="T121" s="41"/>
      <c r="U121" s="12"/>
      <c r="V121" s="11"/>
      <c r="W121" s="11"/>
      <c r="X121" s="11"/>
      <c r="Y121" s="11"/>
    </row>
    <row r="122" spans="1:45" x14ac:dyDescent="0.25">
      <c r="A122" t="s">
        <v>817</v>
      </c>
      <c r="C122"/>
      <c r="D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</row>
    <row r="123" spans="1:45" x14ac:dyDescent="0.25">
      <c r="C123"/>
      <c r="D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</row>
    <row r="124" spans="1:45" x14ac:dyDescent="0.25">
      <c r="A124" s="48" t="s">
        <v>805</v>
      </c>
      <c r="C124"/>
      <c r="D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</row>
    <row r="125" spans="1:45" x14ac:dyDescent="0.25">
      <c r="A125" s="1" t="s">
        <v>0</v>
      </c>
      <c r="B125" s="1" t="s">
        <v>1</v>
      </c>
      <c r="C125" s="23" t="s">
        <v>2</v>
      </c>
      <c r="D125" s="13" t="s">
        <v>3</v>
      </c>
      <c r="E125" s="1" t="s">
        <v>4</v>
      </c>
      <c r="F125" s="1" t="s">
        <v>5</v>
      </c>
      <c r="G125" s="13" t="s">
        <v>6</v>
      </c>
      <c r="H125" s="13" t="s">
        <v>7</v>
      </c>
      <c r="I125" s="18" t="s">
        <v>8</v>
      </c>
      <c r="J125" s="13" t="s">
        <v>9</v>
      </c>
      <c r="K125" s="13" t="s">
        <v>10</v>
      </c>
      <c r="L125" s="13" t="s">
        <v>11</v>
      </c>
      <c r="M125" s="28" t="s">
        <v>12</v>
      </c>
      <c r="N125" s="32" t="s">
        <v>13</v>
      </c>
      <c r="O125" s="37" t="s">
        <v>14</v>
      </c>
      <c r="P125" s="37" t="s">
        <v>15</v>
      </c>
      <c r="Q125" s="13" t="s">
        <v>16</v>
      </c>
      <c r="R125" s="13" t="s">
        <v>17</v>
      </c>
      <c r="S125" s="42" t="s">
        <v>18</v>
      </c>
      <c r="T125" s="37" t="s">
        <v>19</v>
      </c>
      <c r="U125" s="3" t="s">
        <v>20</v>
      </c>
      <c r="V125" s="1" t="s">
        <v>21</v>
      </c>
      <c r="W125" s="1" t="s">
        <v>22</v>
      </c>
      <c r="X125" s="1" t="s">
        <v>23</v>
      </c>
      <c r="Y125" s="1" t="s">
        <v>24</v>
      </c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</row>
    <row r="126" spans="1:45" x14ac:dyDescent="0.25">
      <c r="A126" t="s">
        <v>69</v>
      </c>
      <c r="B126" t="s">
        <v>70</v>
      </c>
      <c r="C126" s="24">
        <v>44530</v>
      </c>
      <c r="D126" s="14">
        <v>355000</v>
      </c>
      <c r="E126" t="s">
        <v>27</v>
      </c>
      <c r="F126" t="s">
        <v>28</v>
      </c>
      <c r="G126" s="14">
        <v>355000</v>
      </c>
      <c r="H126" s="14">
        <v>194000</v>
      </c>
      <c r="I126" s="19">
        <f t="shared" ref="I126:I134" si="17">H126/G126*100</f>
        <v>54.647887323943664</v>
      </c>
      <c r="J126" s="14">
        <v>388028</v>
      </c>
      <c r="K126" s="14">
        <f>G126-334953</f>
        <v>20047</v>
      </c>
      <c r="L126" s="14">
        <v>53075</v>
      </c>
      <c r="M126" s="29">
        <v>0</v>
      </c>
      <c r="N126" s="33">
        <v>0</v>
      </c>
      <c r="O126" s="38">
        <v>1.33</v>
      </c>
      <c r="P126" s="38">
        <v>1.33</v>
      </c>
      <c r="Q126" s="14" t="e">
        <f t="shared" ref="Q126:Q134" si="18">K126/M126</f>
        <v>#DIV/0!</v>
      </c>
      <c r="R126" s="14">
        <f t="shared" ref="R126:R134" si="19">K126/O126</f>
        <v>15072.932330827067</v>
      </c>
      <c r="S126" s="43">
        <f t="shared" ref="S126:S134" si="20">K126/O126/43560</f>
        <v>0.34602691301255895</v>
      </c>
      <c r="T126" s="38">
        <v>0</v>
      </c>
      <c r="U126" s="5" t="s">
        <v>29</v>
      </c>
      <c r="V126" t="s">
        <v>71</v>
      </c>
      <c r="X126" t="s">
        <v>31</v>
      </c>
      <c r="Y126" s="6" t="s">
        <v>32</v>
      </c>
    </row>
    <row r="127" spans="1:45" x14ac:dyDescent="0.25">
      <c r="A127" t="s">
        <v>248</v>
      </c>
      <c r="B127" t="s">
        <v>249</v>
      </c>
      <c r="C127" s="24">
        <v>44426</v>
      </c>
      <c r="D127" s="14">
        <v>333000</v>
      </c>
      <c r="E127" t="s">
        <v>27</v>
      </c>
      <c r="F127" t="s">
        <v>28</v>
      </c>
      <c r="G127" s="14">
        <v>333000</v>
      </c>
      <c r="H127" s="14">
        <v>173700</v>
      </c>
      <c r="I127" s="19">
        <f t="shared" si="17"/>
        <v>52.162162162162161</v>
      </c>
      <c r="J127" s="14">
        <v>347449</v>
      </c>
      <c r="K127" s="14">
        <f>G127-289699</f>
        <v>43301</v>
      </c>
      <c r="L127" s="14">
        <v>57750</v>
      </c>
      <c r="M127" s="29">
        <v>0</v>
      </c>
      <c r="N127" s="33">
        <v>0</v>
      </c>
      <c r="O127" s="38">
        <v>1.5</v>
      </c>
      <c r="P127" s="38">
        <v>1.5</v>
      </c>
      <c r="Q127" s="14" t="e">
        <f t="shared" si="18"/>
        <v>#DIV/0!</v>
      </c>
      <c r="R127" s="14">
        <f t="shared" si="19"/>
        <v>28867.333333333332</v>
      </c>
      <c r="S127" s="43">
        <f t="shared" si="20"/>
        <v>0.66270278543005812</v>
      </c>
      <c r="T127" s="38">
        <v>0</v>
      </c>
      <c r="U127" s="5" t="s">
        <v>29</v>
      </c>
      <c r="V127" t="s">
        <v>250</v>
      </c>
      <c r="X127" t="s">
        <v>31</v>
      </c>
      <c r="Y127" s="6" t="s">
        <v>32</v>
      </c>
    </row>
    <row r="128" spans="1:45" x14ac:dyDescent="0.25">
      <c r="A128" t="s">
        <v>147</v>
      </c>
      <c r="B128" t="s">
        <v>148</v>
      </c>
      <c r="C128" s="24">
        <v>44519</v>
      </c>
      <c r="D128" s="14">
        <v>40000</v>
      </c>
      <c r="E128" t="s">
        <v>27</v>
      </c>
      <c r="F128" t="s">
        <v>28</v>
      </c>
      <c r="G128" s="14">
        <v>40000</v>
      </c>
      <c r="H128" s="14">
        <v>27100</v>
      </c>
      <c r="I128" s="19">
        <f t="shared" si="17"/>
        <v>67.75</v>
      </c>
      <c r="J128" s="14">
        <v>54175</v>
      </c>
      <c r="K128" s="14">
        <f>G128-0</f>
        <v>40000</v>
      </c>
      <c r="L128" s="14">
        <v>54175</v>
      </c>
      <c r="M128" s="29">
        <v>0</v>
      </c>
      <c r="N128" s="33">
        <v>0</v>
      </c>
      <c r="O128" s="38">
        <v>1.37</v>
      </c>
      <c r="P128" s="38">
        <v>1.37</v>
      </c>
      <c r="Q128" s="14" t="e">
        <f t="shared" si="18"/>
        <v>#DIV/0!</v>
      </c>
      <c r="R128" s="14">
        <f t="shared" si="19"/>
        <v>29197.0802919708</v>
      </c>
      <c r="S128" s="43">
        <f t="shared" si="20"/>
        <v>0.6702727339754545</v>
      </c>
      <c r="T128" s="38">
        <v>0</v>
      </c>
      <c r="U128" s="5" t="s">
        <v>29</v>
      </c>
      <c r="V128" t="s">
        <v>149</v>
      </c>
      <c r="X128" t="s">
        <v>31</v>
      </c>
      <c r="Y128" s="6" t="s">
        <v>113</v>
      </c>
    </row>
    <row r="129" spans="1:45" x14ac:dyDescent="0.25">
      <c r="A129" t="s">
        <v>562</v>
      </c>
      <c r="B129" t="s">
        <v>563</v>
      </c>
      <c r="C129" s="24">
        <v>44455</v>
      </c>
      <c r="D129" s="14">
        <v>172500</v>
      </c>
      <c r="E129" t="s">
        <v>27</v>
      </c>
      <c r="F129" t="s">
        <v>28</v>
      </c>
      <c r="G129" s="14">
        <v>172500</v>
      </c>
      <c r="H129" s="14">
        <v>92800</v>
      </c>
      <c r="I129" s="19">
        <f t="shared" si="17"/>
        <v>53.797101449275367</v>
      </c>
      <c r="J129" s="14">
        <v>185595</v>
      </c>
      <c r="K129" s="14">
        <f>G129-139120</f>
        <v>33380</v>
      </c>
      <c r="L129" s="14">
        <v>46475</v>
      </c>
      <c r="M129" s="29">
        <v>0</v>
      </c>
      <c r="N129" s="33">
        <v>0</v>
      </c>
      <c r="O129" s="38">
        <v>1.0900000000000001</v>
      </c>
      <c r="P129" s="38">
        <v>1.0900000000000001</v>
      </c>
      <c r="Q129" s="14" t="e">
        <f t="shared" si="18"/>
        <v>#DIV/0!</v>
      </c>
      <c r="R129" s="14">
        <f t="shared" si="19"/>
        <v>30623.853211009173</v>
      </c>
      <c r="S129" s="43">
        <f t="shared" si="20"/>
        <v>0.70302693321875975</v>
      </c>
      <c r="T129" s="38">
        <v>0</v>
      </c>
      <c r="U129" s="5" t="s">
        <v>29</v>
      </c>
      <c r="V129" t="s">
        <v>564</v>
      </c>
      <c r="X129" t="s">
        <v>31</v>
      </c>
      <c r="Y129" s="6" t="s">
        <v>32</v>
      </c>
    </row>
    <row r="130" spans="1:45" x14ac:dyDescent="0.25">
      <c r="A130" t="s">
        <v>150</v>
      </c>
      <c r="B130" t="s">
        <v>151</v>
      </c>
      <c r="C130" s="24">
        <v>44924</v>
      </c>
      <c r="D130" s="14">
        <v>149900</v>
      </c>
      <c r="E130" t="s">
        <v>27</v>
      </c>
      <c r="F130" t="s">
        <v>28</v>
      </c>
      <c r="G130" s="14">
        <v>149900</v>
      </c>
      <c r="H130" s="14">
        <v>77500</v>
      </c>
      <c r="I130" s="19">
        <f t="shared" si="17"/>
        <v>51.70113408939293</v>
      </c>
      <c r="J130" s="14">
        <v>155093</v>
      </c>
      <c r="K130" s="14">
        <f>G130-105043</f>
        <v>44857</v>
      </c>
      <c r="L130" s="14">
        <v>50050</v>
      </c>
      <c r="M130" s="29">
        <v>0</v>
      </c>
      <c r="N130" s="33">
        <v>0</v>
      </c>
      <c r="O130" s="38">
        <v>1.22</v>
      </c>
      <c r="P130" s="38">
        <v>1.22</v>
      </c>
      <c r="Q130" s="14" t="e">
        <f t="shared" si="18"/>
        <v>#DIV/0!</v>
      </c>
      <c r="R130" s="14">
        <f t="shared" si="19"/>
        <v>36768.032786885247</v>
      </c>
      <c r="S130" s="43">
        <f t="shared" si="20"/>
        <v>0.84407788766954195</v>
      </c>
      <c r="T130" s="38">
        <v>0</v>
      </c>
      <c r="U130" s="5" t="s">
        <v>29</v>
      </c>
      <c r="V130" t="s">
        <v>152</v>
      </c>
      <c r="X130" t="s">
        <v>31</v>
      </c>
      <c r="Y130" s="6" t="s">
        <v>32</v>
      </c>
    </row>
    <row r="131" spans="1:45" x14ac:dyDescent="0.25">
      <c r="A131" t="s">
        <v>257</v>
      </c>
      <c r="B131" t="s">
        <v>258</v>
      </c>
      <c r="C131" s="24">
        <v>44306</v>
      </c>
      <c r="D131" s="14">
        <v>174000</v>
      </c>
      <c r="E131" t="s">
        <v>27</v>
      </c>
      <c r="F131" t="s">
        <v>28</v>
      </c>
      <c r="G131" s="14">
        <v>174000</v>
      </c>
      <c r="H131" s="14">
        <v>77600</v>
      </c>
      <c r="I131" s="19">
        <f t="shared" si="17"/>
        <v>44.597701149425291</v>
      </c>
      <c r="J131" s="14">
        <v>155235</v>
      </c>
      <c r="K131" s="14">
        <f>G131-100785</f>
        <v>73215</v>
      </c>
      <c r="L131" s="14">
        <v>54450</v>
      </c>
      <c r="M131" s="29">
        <v>0</v>
      </c>
      <c r="N131" s="33">
        <v>0</v>
      </c>
      <c r="O131" s="38">
        <v>1.38</v>
      </c>
      <c r="P131" s="38">
        <v>1.38</v>
      </c>
      <c r="Q131" s="14" t="e">
        <f t="shared" si="18"/>
        <v>#DIV/0!</v>
      </c>
      <c r="R131" s="14">
        <f t="shared" si="19"/>
        <v>53054.34782608696</v>
      </c>
      <c r="S131" s="43">
        <f t="shared" si="20"/>
        <v>1.2179602347586538</v>
      </c>
      <c r="T131" s="38">
        <v>0</v>
      </c>
      <c r="U131" s="5" t="s">
        <v>29</v>
      </c>
      <c r="V131" t="s">
        <v>259</v>
      </c>
      <c r="X131" t="s">
        <v>31</v>
      </c>
      <c r="Y131" s="6" t="s">
        <v>32</v>
      </c>
    </row>
    <row r="132" spans="1:45" x14ac:dyDescent="0.25">
      <c r="A132" t="s">
        <v>559</v>
      </c>
      <c r="B132" t="s">
        <v>560</v>
      </c>
      <c r="C132" s="24">
        <v>44426</v>
      </c>
      <c r="D132" s="14">
        <v>210000</v>
      </c>
      <c r="E132" t="s">
        <v>27</v>
      </c>
      <c r="F132" t="s">
        <v>28</v>
      </c>
      <c r="G132" s="14">
        <v>210000</v>
      </c>
      <c r="H132" s="14">
        <v>95100</v>
      </c>
      <c r="I132" s="19">
        <f t="shared" si="17"/>
        <v>45.285714285714285</v>
      </c>
      <c r="J132" s="14">
        <v>190268</v>
      </c>
      <c r="K132" s="14">
        <f>G132-140768</f>
        <v>69232</v>
      </c>
      <c r="L132" s="14">
        <v>49500</v>
      </c>
      <c r="M132" s="29">
        <v>0</v>
      </c>
      <c r="N132" s="33">
        <v>0</v>
      </c>
      <c r="O132" s="38">
        <v>1.2</v>
      </c>
      <c r="P132" s="38">
        <v>1.2</v>
      </c>
      <c r="Q132" s="14" t="e">
        <f t="shared" si="18"/>
        <v>#DIV/0!</v>
      </c>
      <c r="R132" s="14">
        <f t="shared" si="19"/>
        <v>57693.333333333336</v>
      </c>
      <c r="S132" s="43">
        <f t="shared" si="20"/>
        <v>1.3244566880930517</v>
      </c>
      <c r="T132" s="38">
        <v>0</v>
      </c>
      <c r="U132" s="5" t="s">
        <v>29</v>
      </c>
      <c r="V132" t="s">
        <v>561</v>
      </c>
      <c r="X132" t="s">
        <v>31</v>
      </c>
      <c r="Y132" s="6" t="s">
        <v>32</v>
      </c>
    </row>
    <row r="133" spans="1:45" x14ac:dyDescent="0.25">
      <c r="A133" t="s">
        <v>51</v>
      </c>
      <c r="B133" t="s">
        <v>52</v>
      </c>
      <c r="C133" s="24">
        <v>44704</v>
      </c>
      <c r="D133" s="14">
        <v>279500</v>
      </c>
      <c r="E133" t="s">
        <v>27</v>
      </c>
      <c r="F133" t="s">
        <v>28</v>
      </c>
      <c r="G133" s="14">
        <v>279500</v>
      </c>
      <c r="H133" s="14">
        <v>116200</v>
      </c>
      <c r="I133" s="19">
        <f t="shared" si="17"/>
        <v>41.574239713774595</v>
      </c>
      <c r="J133" s="14">
        <v>232448</v>
      </c>
      <c r="K133" s="14">
        <f>G133-175248</f>
        <v>104252</v>
      </c>
      <c r="L133" s="14">
        <v>57200</v>
      </c>
      <c r="M133" s="29">
        <v>0</v>
      </c>
      <c r="N133" s="33">
        <v>0</v>
      </c>
      <c r="O133" s="38">
        <v>1.48</v>
      </c>
      <c r="P133" s="38">
        <v>1.48</v>
      </c>
      <c r="Q133" s="14" t="e">
        <f t="shared" si="18"/>
        <v>#DIV/0!</v>
      </c>
      <c r="R133" s="14">
        <f t="shared" si="19"/>
        <v>70440.540540540547</v>
      </c>
      <c r="S133" s="43">
        <f t="shared" si="20"/>
        <v>1.6170922989104808</v>
      </c>
      <c r="T133" s="38">
        <v>0</v>
      </c>
      <c r="U133" s="5" t="s">
        <v>29</v>
      </c>
      <c r="V133" t="s">
        <v>53</v>
      </c>
      <c r="X133" t="s">
        <v>31</v>
      </c>
      <c r="Y133" s="6" t="s">
        <v>32</v>
      </c>
    </row>
    <row r="134" spans="1:45" ht="15.75" thickBot="1" x14ac:dyDescent="0.3">
      <c r="A134" t="s">
        <v>66</v>
      </c>
      <c r="B134" t="s">
        <v>67</v>
      </c>
      <c r="C134" s="24">
        <v>44344</v>
      </c>
      <c r="D134" s="14">
        <v>330000</v>
      </c>
      <c r="E134" t="s">
        <v>27</v>
      </c>
      <c r="F134" t="s">
        <v>28</v>
      </c>
      <c r="G134" s="14">
        <v>330000</v>
      </c>
      <c r="H134" s="14">
        <v>147500</v>
      </c>
      <c r="I134" s="19">
        <f t="shared" si="17"/>
        <v>44.696969696969695</v>
      </c>
      <c r="J134" s="14">
        <v>295081</v>
      </c>
      <c r="K134" s="14">
        <f>G134-247231</f>
        <v>82769</v>
      </c>
      <c r="L134" s="14">
        <v>47850</v>
      </c>
      <c r="M134" s="29">
        <v>0</v>
      </c>
      <c r="N134" s="33">
        <v>0</v>
      </c>
      <c r="O134" s="38">
        <v>1.1399999999999999</v>
      </c>
      <c r="P134" s="38">
        <v>1.1399999999999999</v>
      </c>
      <c r="Q134" s="14" t="e">
        <f t="shared" si="18"/>
        <v>#DIV/0!</v>
      </c>
      <c r="R134" s="14">
        <f t="shared" si="19"/>
        <v>72604.38596491229</v>
      </c>
      <c r="S134" s="43">
        <f t="shared" si="20"/>
        <v>1.6667673545663979</v>
      </c>
      <c r="T134" s="38">
        <v>0</v>
      </c>
      <c r="U134" s="5" t="s">
        <v>29</v>
      </c>
      <c r="V134" t="s">
        <v>68</v>
      </c>
      <c r="X134" t="s">
        <v>31</v>
      </c>
      <c r="Y134" s="6" t="s">
        <v>32</v>
      </c>
    </row>
    <row r="135" spans="1:45" ht="15.75" thickTop="1" x14ac:dyDescent="0.25">
      <c r="A135" s="7"/>
      <c r="B135" s="7"/>
      <c r="C135" s="25" t="s">
        <v>769</v>
      </c>
      <c r="D135" s="15">
        <f>+SUM(D126:D134)</f>
        <v>2043900</v>
      </c>
      <c r="E135" s="7"/>
      <c r="F135" s="7"/>
      <c r="G135" s="15">
        <f>+SUM(G126:G134)</f>
        <v>2043900</v>
      </c>
      <c r="H135" s="15">
        <f>+SUM(H126:H134)</f>
        <v>1001500</v>
      </c>
      <c r="I135" s="20"/>
      <c r="J135" s="15">
        <f>+SUM(J126:J134)</f>
        <v>2003372</v>
      </c>
      <c r="K135" s="15">
        <f>+SUM(K126:K134)</f>
        <v>511053</v>
      </c>
      <c r="L135" s="15">
        <f>+SUM(L126:L134)</f>
        <v>470525</v>
      </c>
      <c r="M135" s="30">
        <f>+SUM(M126:M134)</f>
        <v>0</v>
      </c>
      <c r="N135" s="34"/>
      <c r="O135" s="39">
        <f>+SUM(O126:O134)</f>
        <v>11.71</v>
      </c>
      <c r="P135" s="39">
        <f>+SUM(P126:P134)</f>
        <v>11.71</v>
      </c>
      <c r="Q135" s="15"/>
      <c r="R135" s="15"/>
      <c r="S135" s="44"/>
      <c r="T135" s="39"/>
      <c r="U135" s="8"/>
      <c r="V135" s="7"/>
      <c r="W135" s="7"/>
      <c r="X135" s="7"/>
      <c r="Y135" s="7"/>
    </row>
    <row r="136" spans="1:45" x14ac:dyDescent="0.25">
      <c r="A136" s="9"/>
      <c r="B136" s="9"/>
      <c r="C136" s="26"/>
      <c r="D136" s="16"/>
      <c r="E136" s="9"/>
      <c r="F136" s="9"/>
      <c r="G136" s="16"/>
      <c r="H136" s="16" t="s">
        <v>770</v>
      </c>
      <c r="I136" s="21">
        <f>H135/G135*100</f>
        <v>48.999461813200256</v>
      </c>
      <c r="J136" s="16"/>
      <c r="K136" s="16"/>
      <c r="L136" s="16" t="s">
        <v>771</v>
      </c>
      <c r="M136" s="31"/>
      <c r="N136" s="35"/>
      <c r="O136" s="40" t="s">
        <v>771</v>
      </c>
      <c r="P136" s="40"/>
      <c r="Q136" s="16"/>
      <c r="R136" s="16" t="s">
        <v>771</v>
      </c>
      <c r="S136" s="45"/>
      <c r="T136" s="40"/>
      <c r="U136" s="10"/>
      <c r="V136" s="9"/>
      <c r="W136" s="9"/>
      <c r="X136" s="9"/>
      <c r="Y136" s="9"/>
    </row>
    <row r="137" spans="1:45" x14ac:dyDescent="0.25">
      <c r="A137" s="11"/>
      <c r="B137" s="11"/>
      <c r="C137" s="27"/>
      <c r="D137" s="17"/>
      <c r="E137" s="11"/>
      <c r="F137" s="11"/>
      <c r="G137" s="17"/>
      <c r="H137" s="17" t="s">
        <v>772</v>
      </c>
      <c r="I137" s="22">
        <f>STDEV(I126:I134)</f>
        <v>7.9442440743129596</v>
      </c>
      <c r="J137" s="17"/>
      <c r="K137" s="17"/>
      <c r="L137" s="17" t="s">
        <v>773</v>
      </c>
      <c r="M137" s="47" t="e">
        <f>K135/M135</f>
        <v>#DIV/0!</v>
      </c>
      <c r="N137" s="36"/>
      <c r="O137" s="41" t="s">
        <v>774</v>
      </c>
      <c r="P137" s="41">
        <f>K135/O135</f>
        <v>43642.442356959858</v>
      </c>
      <c r="Q137" s="17"/>
      <c r="R137" s="17" t="s">
        <v>775</v>
      </c>
      <c r="S137" s="46">
        <f>K135/O135/43560</f>
        <v>1.001892616091824</v>
      </c>
      <c r="T137" s="41"/>
      <c r="U137" s="12"/>
      <c r="V137" s="11"/>
      <c r="W137" s="11"/>
      <c r="X137" s="11"/>
      <c r="Y137" s="11"/>
    </row>
    <row r="138" spans="1:45" x14ac:dyDescent="0.25">
      <c r="A138" t="s">
        <v>817</v>
      </c>
      <c r="C138"/>
      <c r="D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</row>
    <row r="139" spans="1:45" x14ac:dyDescent="0.25">
      <c r="C139"/>
      <c r="D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</row>
    <row r="140" spans="1:45" x14ac:dyDescent="0.25">
      <c r="A140" s="48" t="s">
        <v>806</v>
      </c>
      <c r="C140"/>
      <c r="D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</row>
    <row r="141" spans="1:45" x14ac:dyDescent="0.25">
      <c r="A141" s="1" t="s">
        <v>0</v>
      </c>
      <c r="B141" s="1" t="s">
        <v>1</v>
      </c>
      <c r="C141" s="23" t="s">
        <v>2</v>
      </c>
      <c r="D141" s="13" t="s">
        <v>3</v>
      </c>
      <c r="E141" s="1" t="s">
        <v>4</v>
      </c>
      <c r="F141" s="1" t="s">
        <v>5</v>
      </c>
      <c r="G141" s="13" t="s">
        <v>6</v>
      </c>
      <c r="H141" s="13" t="s">
        <v>7</v>
      </c>
      <c r="I141" s="18" t="s">
        <v>8</v>
      </c>
      <c r="J141" s="13" t="s">
        <v>9</v>
      </c>
      <c r="K141" s="13" t="s">
        <v>10</v>
      </c>
      <c r="L141" s="13" t="s">
        <v>11</v>
      </c>
      <c r="M141" s="28" t="s">
        <v>12</v>
      </c>
      <c r="N141" s="32" t="s">
        <v>13</v>
      </c>
      <c r="O141" s="37" t="s">
        <v>14</v>
      </c>
      <c r="P141" s="37" t="s">
        <v>15</v>
      </c>
      <c r="Q141" s="13" t="s">
        <v>16</v>
      </c>
      <c r="R141" s="13" t="s">
        <v>17</v>
      </c>
      <c r="S141" s="42" t="s">
        <v>18</v>
      </c>
      <c r="T141" s="37" t="s">
        <v>19</v>
      </c>
      <c r="U141" s="3" t="s">
        <v>20</v>
      </c>
      <c r="V141" s="1" t="s">
        <v>21</v>
      </c>
      <c r="W141" s="1" t="s">
        <v>22</v>
      </c>
      <c r="X141" s="1" t="s">
        <v>23</v>
      </c>
      <c r="Y141" s="1" t="s">
        <v>24</v>
      </c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</row>
    <row r="142" spans="1:45" x14ac:dyDescent="0.25">
      <c r="A142" t="s">
        <v>683</v>
      </c>
      <c r="B142" t="s">
        <v>684</v>
      </c>
      <c r="C142" s="24">
        <v>44294</v>
      </c>
      <c r="D142" s="14">
        <v>132000</v>
      </c>
      <c r="E142" t="s">
        <v>27</v>
      </c>
      <c r="F142" t="s">
        <v>28</v>
      </c>
      <c r="G142" s="14">
        <v>132000</v>
      </c>
      <c r="H142" s="14">
        <v>79100</v>
      </c>
      <c r="I142" s="19">
        <f t="shared" ref="I142:I150" si="21">H142/G142*100</f>
        <v>59.924242424242422</v>
      </c>
      <c r="J142" s="14">
        <v>158262</v>
      </c>
      <c r="K142" s="14">
        <f>G142-93087</f>
        <v>38913</v>
      </c>
      <c r="L142" s="14">
        <v>65175</v>
      </c>
      <c r="M142" s="29">
        <v>0</v>
      </c>
      <c r="N142" s="33">
        <v>0</v>
      </c>
      <c r="O142" s="38">
        <v>1.95</v>
      </c>
      <c r="P142" s="38">
        <v>1.95</v>
      </c>
      <c r="Q142" s="14" t="e">
        <f t="shared" ref="Q142:Q150" si="22">K142/M142</f>
        <v>#DIV/0!</v>
      </c>
      <c r="R142" s="14">
        <f t="shared" ref="R142:R150" si="23">K142/O142</f>
        <v>19955.384615384617</v>
      </c>
      <c r="S142" s="43">
        <f t="shared" ref="S142:S150" si="24">K142/O142/43560</f>
        <v>0.45811259447623087</v>
      </c>
      <c r="T142" s="38">
        <v>0</v>
      </c>
      <c r="U142" s="5" t="s">
        <v>615</v>
      </c>
      <c r="V142" t="s">
        <v>685</v>
      </c>
      <c r="X142" t="s">
        <v>617</v>
      </c>
      <c r="Y142" s="6" t="s">
        <v>32</v>
      </c>
    </row>
    <row r="143" spans="1:45" x14ac:dyDescent="0.25">
      <c r="A143" t="s">
        <v>216</v>
      </c>
      <c r="B143" t="s">
        <v>217</v>
      </c>
      <c r="C143" s="24">
        <v>44512</v>
      </c>
      <c r="D143" s="14">
        <v>200000</v>
      </c>
      <c r="E143" t="s">
        <v>27</v>
      </c>
      <c r="F143" t="s">
        <v>28</v>
      </c>
      <c r="G143" s="14">
        <v>200000</v>
      </c>
      <c r="H143" s="14">
        <v>109900</v>
      </c>
      <c r="I143" s="19">
        <f t="shared" si="21"/>
        <v>54.949999999999996</v>
      </c>
      <c r="J143" s="14">
        <v>219731</v>
      </c>
      <c r="K143" s="14">
        <f>G143-153731</f>
        <v>46269</v>
      </c>
      <c r="L143" s="14">
        <v>66000</v>
      </c>
      <c r="M143" s="29">
        <v>0</v>
      </c>
      <c r="N143" s="33">
        <v>0</v>
      </c>
      <c r="O143" s="38">
        <v>2</v>
      </c>
      <c r="P143" s="38">
        <v>2</v>
      </c>
      <c r="Q143" s="14" t="e">
        <f t="shared" si="22"/>
        <v>#DIV/0!</v>
      </c>
      <c r="R143" s="14">
        <f t="shared" si="23"/>
        <v>23134.5</v>
      </c>
      <c r="S143" s="43">
        <f t="shared" si="24"/>
        <v>0.531095041322314</v>
      </c>
      <c r="T143" s="38">
        <v>0</v>
      </c>
      <c r="U143" s="5" t="s">
        <v>29</v>
      </c>
      <c r="V143" t="s">
        <v>218</v>
      </c>
      <c r="X143" t="s">
        <v>31</v>
      </c>
      <c r="Y143" s="6" t="s">
        <v>32</v>
      </c>
    </row>
    <row r="144" spans="1:45" x14ac:dyDescent="0.25">
      <c r="A144" t="s">
        <v>153</v>
      </c>
      <c r="B144" t="s">
        <v>154</v>
      </c>
      <c r="C144" s="24">
        <v>44859</v>
      </c>
      <c r="D144" s="14">
        <v>45000</v>
      </c>
      <c r="E144" t="s">
        <v>27</v>
      </c>
      <c r="F144" t="s">
        <v>28</v>
      </c>
      <c r="G144" s="14">
        <v>45000</v>
      </c>
      <c r="H144" s="14">
        <v>32100</v>
      </c>
      <c r="I144" s="19">
        <f t="shared" si="21"/>
        <v>71.333333333333343</v>
      </c>
      <c r="J144" s="14">
        <v>64185</v>
      </c>
      <c r="K144" s="14">
        <f>G144-0</f>
        <v>45000</v>
      </c>
      <c r="L144" s="14">
        <v>64185</v>
      </c>
      <c r="M144" s="29">
        <v>0</v>
      </c>
      <c r="N144" s="33">
        <v>0</v>
      </c>
      <c r="O144" s="38">
        <v>1.89</v>
      </c>
      <c r="P144" s="38">
        <v>1.89</v>
      </c>
      <c r="Q144" s="14" t="e">
        <f t="shared" si="22"/>
        <v>#DIV/0!</v>
      </c>
      <c r="R144" s="14">
        <f t="shared" si="23"/>
        <v>23809.523809523809</v>
      </c>
      <c r="S144" s="43">
        <f t="shared" si="24"/>
        <v>0.54659145568236478</v>
      </c>
      <c r="T144" s="38">
        <v>0</v>
      </c>
      <c r="U144" s="5" t="s">
        <v>29</v>
      </c>
      <c r="V144" t="s">
        <v>155</v>
      </c>
      <c r="X144" t="s">
        <v>31</v>
      </c>
      <c r="Y144" s="6" t="s">
        <v>113</v>
      </c>
    </row>
    <row r="145" spans="1:45" x14ac:dyDescent="0.25">
      <c r="A145" t="s">
        <v>54</v>
      </c>
      <c r="B145" t="s">
        <v>55</v>
      </c>
      <c r="C145" s="24">
        <v>44862</v>
      </c>
      <c r="D145" s="14">
        <v>151000</v>
      </c>
      <c r="E145" t="s">
        <v>27</v>
      </c>
      <c r="F145" t="s">
        <v>28</v>
      </c>
      <c r="G145" s="14">
        <v>151000</v>
      </c>
      <c r="H145" s="14">
        <v>84600</v>
      </c>
      <c r="I145" s="19">
        <f t="shared" si="21"/>
        <v>56.026490066225165</v>
      </c>
      <c r="J145" s="14">
        <v>169169</v>
      </c>
      <c r="K145" s="14">
        <f>G145-103169</f>
        <v>47831</v>
      </c>
      <c r="L145" s="14">
        <v>66000</v>
      </c>
      <c r="M145" s="29">
        <v>0</v>
      </c>
      <c r="N145" s="33">
        <v>0</v>
      </c>
      <c r="O145" s="38">
        <v>2</v>
      </c>
      <c r="P145" s="38">
        <v>2</v>
      </c>
      <c r="Q145" s="14" t="e">
        <f t="shared" si="22"/>
        <v>#DIV/0!</v>
      </c>
      <c r="R145" s="14">
        <f t="shared" si="23"/>
        <v>23915.5</v>
      </c>
      <c r="S145" s="43">
        <f t="shared" si="24"/>
        <v>0.54902433425160702</v>
      </c>
      <c r="T145" s="38">
        <v>0</v>
      </c>
      <c r="U145" s="5" t="s">
        <v>29</v>
      </c>
      <c r="V145" t="s">
        <v>56</v>
      </c>
      <c r="X145" t="s">
        <v>31</v>
      </c>
      <c r="Y145" s="6" t="s">
        <v>32</v>
      </c>
    </row>
    <row r="146" spans="1:45" x14ac:dyDescent="0.25">
      <c r="A146" t="s">
        <v>79</v>
      </c>
      <c r="B146" t="s">
        <v>80</v>
      </c>
      <c r="C146" s="24">
        <v>44560</v>
      </c>
      <c r="D146" s="14">
        <v>185000</v>
      </c>
      <c r="E146" t="s">
        <v>27</v>
      </c>
      <c r="F146" t="s">
        <v>28</v>
      </c>
      <c r="G146" s="14">
        <v>185000</v>
      </c>
      <c r="H146" s="14">
        <v>99000</v>
      </c>
      <c r="I146" s="19">
        <f t="shared" si="21"/>
        <v>53.513513513513509</v>
      </c>
      <c r="J146" s="14">
        <v>198030</v>
      </c>
      <c r="K146" s="14">
        <f>G146-136815</f>
        <v>48185</v>
      </c>
      <c r="L146" s="14">
        <v>61215</v>
      </c>
      <c r="M146" s="29">
        <v>0</v>
      </c>
      <c r="N146" s="33">
        <v>0</v>
      </c>
      <c r="O146" s="38">
        <v>1.71</v>
      </c>
      <c r="P146" s="38">
        <v>1.71</v>
      </c>
      <c r="Q146" s="14" t="e">
        <f t="shared" si="22"/>
        <v>#DIV/0!</v>
      </c>
      <c r="R146" s="14">
        <f t="shared" si="23"/>
        <v>28178.362573099417</v>
      </c>
      <c r="S146" s="43">
        <f t="shared" si="24"/>
        <v>0.64688619313818685</v>
      </c>
      <c r="T146" s="38">
        <v>0</v>
      </c>
      <c r="U146" s="5" t="s">
        <v>29</v>
      </c>
      <c r="V146" t="s">
        <v>81</v>
      </c>
      <c r="X146" t="s">
        <v>31</v>
      </c>
      <c r="Y146" s="6" t="s">
        <v>32</v>
      </c>
    </row>
    <row r="147" spans="1:45" x14ac:dyDescent="0.25">
      <c r="A147" t="s">
        <v>126</v>
      </c>
      <c r="B147" t="s">
        <v>127</v>
      </c>
      <c r="C147" s="24">
        <v>44362</v>
      </c>
      <c r="D147" s="14">
        <v>183000</v>
      </c>
      <c r="E147" t="s">
        <v>27</v>
      </c>
      <c r="F147" t="s">
        <v>28</v>
      </c>
      <c r="G147" s="14">
        <v>183000</v>
      </c>
      <c r="H147" s="14">
        <v>94600</v>
      </c>
      <c r="I147" s="19">
        <f t="shared" si="21"/>
        <v>51.693989071038246</v>
      </c>
      <c r="J147" s="14">
        <v>189277</v>
      </c>
      <c r="K147" s="14">
        <f>G147-126247</f>
        <v>56753</v>
      </c>
      <c r="L147" s="14">
        <v>63030</v>
      </c>
      <c r="M147" s="29">
        <v>0</v>
      </c>
      <c r="N147" s="33">
        <v>0</v>
      </c>
      <c r="O147" s="38">
        <v>1.82</v>
      </c>
      <c r="P147" s="38">
        <v>1.82</v>
      </c>
      <c r="Q147" s="14" t="e">
        <f t="shared" si="22"/>
        <v>#DIV/0!</v>
      </c>
      <c r="R147" s="14">
        <f t="shared" si="23"/>
        <v>31182.967032967033</v>
      </c>
      <c r="S147" s="43">
        <f t="shared" si="24"/>
        <v>0.71586242040787496</v>
      </c>
      <c r="T147" s="38">
        <v>0</v>
      </c>
      <c r="U147" s="5" t="s">
        <v>29</v>
      </c>
      <c r="V147" t="s">
        <v>128</v>
      </c>
      <c r="X147" t="s">
        <v>31</v>
      </c>
      <c r="Y147" s="6" t="s">
        <v>32</v>
      </c>
    </row>
    <row r="148" spans="1:45" x14ac:dyDescent="0.25">
      <c r="A148" t="s">
        <v>107</v>
      </c>
      <c r="B148" t="s">
        <v>108</v>
      </c>
      <c r="C148" s="24">
        <v>44764</v>
      </c>
      <c r="D148" s="14">
        <v>182500</v>
      </c>
      <c r="E148" t="s">
        <v>27</v>
      </c>
      <c r="F148" t="s">
        <v>28</v>
      </c>
      <c r="G148" s="14">
        <v>182500</v>
      </c>
      <c r="H148" s="14">
        <v>89000</v>
      </c>
      <c r="I148" s="19">
        <f t="shared" si="21"/>
        <v>48.767123287671232</v>
      </c>
      <c r="J148" s="14">
        <v>178015</v>
      </c>
      <c r="K148" s="14">
        <f>G148-115975</f>
        <v>66525</v>
      </c>
      <c r="L148" s="14">
        <v>62040</v>
      </c>
      <c r="M148" s="29">
        <v>0</v>
      </c>
      <c r="N148" s="33">
        <v>0</v>
      </c>
      <c r="O148" s="38">
        <v>1.76</v>
      </c>
      <c r="P148" s="38">
        <v>1.76</v>
      </c>
      <c r="Q148" s="14" t="e">
        <f t="shared" si="22"/>
        <v>#DIV/0!</v>
      </c>
      <c r="R148" s="14">
        <f t="shared" si="23"/>
        <v>37798.295454545456</v>
      </c>
      <c r="S148" s="43">
        <f t="shared" si="24"/>
        <v>0.86772946406210871</v>
      </c>
      <c r="T148" s="38">
        <v>0</v>
      </c>
      <c r="U148" s="5" t="s">
        <v>29</v>
      </c>
      <c r="V148" t="s">
        <v>109</v>
      </c>
      <c r="X148" t="s">
        <v>31</v>
      </c>
      <c r="Y148" s="6" t="s">
        <v>32</v>
      </c>
    </row>
    <row r="149" spans="1:45" x14ac:dyDescent="0.25">
      <c r="A149" t="s">
        <v>171</v>
      </c>
      <c r="B149" t="s">
        <v>172</v>
      </c>
      <c r="C149" s="24">
        <v>45016</v>
      </c>
      <c r="D149" s="14">
        <v>299900</v>
      </c>
      <c r="E149" t="s">
        <v>27</v>
      </c>
      <c r="F149" t="s">
        <v>28</v>
      </c>
      <c r="G149" s="14">
        <v>299900</v>
      </c>
      <c r="H149" s="14">
        <v>135600</v>
      </c>
      <c r="I149" s="19">
        <f t="shared" si="21"/>
        <v>45.215071690563519</v>
      </c>
      <c r="J149" s="14">
        <v>271209</v>
      </c>
      <c r="K149" s="14">
        <f>G149-205209</f>
        <v>94691</v>
      </c>
      <c r="L149" s="14">
        <v>66000</v>
      </c>
      <c r="M149" s="29">
        <v>0</v>
      </c>
      <c r="N149" s="33">
        <v>0</v>
      </c>
      <c r="O149" s="38">
        <v>2</v>
      </c>
      <c r="P149" s="38">
        <v>2</v>
      </c>
      <c r="Q149" s="14" t="e">
        <f t="shared" si="22"/>
        <v>#DIV/0!</v>
      </c>
      <c r="R149" s="14">
        <f t="shared" si="23"/>
        <v>47345.5</v>
      </c>
      <c r="S149" s="43">
        <f t="shared" si="24"/>
        <v>1.0869031221303949</v>
      </c>
      <c r="T149" s="38">
        <v>0</v>
      </c>
      <c r="U149" s="5" t="s">
        <v>29</v>
      </c>
      <c r="V149" t="s">
        <v>173</v>
      </c>
      <c r="X149" t="s">
        <v>31</v>
      </c>
      <c r="Y149" s="6" t="s">
        <v>32</v>
      </c>
    </row>
    <row r="150" spans="1:45" ht="15.75" thickBot="1" x14ac:dyDescent="0.3">
      <c r="A150" t="s">
        <v>25</v>
      </c>
      <c r="B150" t="s">
        <v>26</v>
      </c>
      <c r="C150" s="24">
        <v>45076</v>
      </c>
      <c r="D150" s="14">
        <v>265000</v>
      </c>
      <c r="E150" t="s">
        <v>27</v>
      </c>
      <c r="F150" t="s">
        <v>28</v>
      </c>
      <c r="G150" s="14">
        <v>265000</v>
      </c>
      <c r="H150" s="14">
        <v>114700</v>
      </c>
      <c r="I150" s="19">
        <f t="shared" si="21"/>
        <v>43.283018867924525</v>
      </c>
      <c r="J150" s="14">
        <v>229301</v>
      </c>
      <c r="K150" s="14">
        <f>G150-163301</f>
        <v>101699</v>
      </c>
      <c r="L150" s="14">
        <v>66000</v>
      </c>
      <c r="M150" s="29">
        <v>0</v>
      </c>
      <c r="N150" s="33">
        <v>0</v>
      </c>
      <c r="O150" s="38">
        <v>2</v>
      </c>
      <c r="P150" s="38">
        <v>2</v>
      </c>
      <c r="Q150" s="14" t="e">
        <f t="shared" si="22"/>
        <v>#DIV/0!</v>
      </c>
      <c r="R150" s="14">
        <f t="shared" si="23"/>
        <v>50849.5</v>
      </c>
      <c r="S150" s="43">
        <f t="shared" si="24"/>
        <v>1.1673438934802571</v>
      </c>
      <c r="T150" s="38">
        <v>0</v>
      </c>
      <c r="U150" s="5" t="s">
        <v>29</v>
      </c>
      <c r="V150" t="s">
        <v>30</v>
      </c>
      <c r="X150" t="s">
        <v>31</v>
      </c>
      <c r="Y150" s="6" t="s">
        <v>32</v>
      </c>
      <c r="AJ150" s="2"/>
      <c r="AL150" s="2"/>
    </row>
    <row r="151" spans="1:45" ht="15.75" thickTop="1" x14ac:dyDescent="0.25">
      <c r="A151" s="7"/>
      <c r="B151" s="7"/>
      <c r="C151" s="25" t="s">
        <v>769</v>
      </c>
      <c r="D151" s="15">
        <f>+SUM(D142:D150)</f>
        <v>1643400</v>
      </c>
      <c r="E151" s="7"/>
      <c r="F151" s="7"/>
      <c r="G151" s="15">
        <f>+SUM(G142:G150)</f>
        <v>1643400</v>
      </c>
      <c r="H151" s="15">
        <f>+SUM(H142:H150)</f>
        <v>838600</v>
      </c>
      <c r="I151" s="20"/>
      <c r="J151" s="15">
        <f>+SUM(J142:J150)</f>
        <v>1677179</v>
      </c>
      <c r="K151" s="15">
        <f>+SUM(K142:K150)</f>
        <v>545866</v>
      </c>
      <c r="L151" s="15">
        <f>+SUM(L142:L150)</f>
        <v>579645</v>
      </c>
      <c r="M151" s="30">
        <f>+SUM(M142:M150)</f>
        <v>0</v>
      </c>
      <c r="N151" s="34"/>
      <c r="O151" s="39">
        <f>+SUM(O142:O150)</f>
        <v>17.130000000000003</v>
      </c>
      <c r="P151" s="39">
        <f>+SUM(P142:P150)</f>
        <v>17.130000000000003</v>
      </c>
      <c r="Q151" s="15"/>
      <c r="R151" s="15"/>
      <c r="S151" s="44"/>
      <c r="T151" s="39"/>
      <c r="U151" s="8"/>
      <c r="V151" s="7"/>
      <c r="W151" s="7"/>
      <c r="X151" s="7"/>
      <c r="Y151" s="7"/>
    </row>
    <row r="152" spans="1:45" x14ac:dyDescent="0.25">
      <c r="A152" s="9"/>
      <c r="B152" s="9"/>
      <c r="C152" s="26"/>
      <c r="D152" s="16"/>
      <c r="E152" s="9"/>
      <c r="F152" s="9"/>
      <c r="G152" s="16"/>
      <c r="H152" s="16" t="s">
        <v>770</v>
      </c>
      <c r="I152" s="21">
        <f>H151/G151*100</f>
        <v>51.028355847632959</v>
      </c>
      <c r="J152" s="16"/>
      <c r="K152" s="16"/>
      <c r="L152" s="16" t="s">
        <v>771</v>
      </c>
      <c r="M152" s="31"/>
      <c r="N152" s="35"/>
      <c r="O152" s="40" t="s">
        <v>771</v>
      </c>
      <c r="P152" s="40"/>
      <c r="Q152" s="16"/>
      <c r="R152" s="16" t="s">
        <v>771</v>
      </c>
      <c r="S152" s="45"/>
      <c r="T152" s="40"/>
      <c r="U152" s="10"/>
      <c r="V152" s="9"/>
      <c r="W152" s="9"/>
      <c r="X152" s="9"/>
      <c r="Y152" s="9"/>
    </row>
    <row r="153" spans="1:45" x14ac:dyDescent="0.25">
      <c r="A153" s="11"/>
      <c r="B153" s="11"/>
      <c r="C153" s="27"/>
      <c r="D153" s="17"/>
      <c r="E153" s="11"/>
      <c r="F153" s="11"/>
      <c r="G153" s="17"/>
      <c r="H153" s="17" t="s">
        <v>772</v>
      </c>
      <c r="I153" s="22">
        <f>STDEV(I142:I150)</f>
        <v>8.4063252624363116</v>
      </c>
      <c r="J153" s="17"/>
      <c r="K153" s="17"/>
      <c r="L153" s="17" t="s">
        <v>773</v>
      </c>
      <c r="M153" s="47" t="e">
        <f>K151/M151</f>
        <v>#DIV/0!</v>
      </c>
      <c r="N153" s="36"/>
      <c r="O153" s="41" t="s">
        <v>774</v>
      </c>
      <c r="P153" s="41">
        <f>K151/O151</f>
        <v>31866.082895504958</v>
      </c>
      <c r="Q153" s="17"/>
      <c r="R153" s="17" t="s">
        <v>775</v>
      </c>
      <c r="S153" s="46">
        <f>K151/O151/43560</f>
        <v>0.73154460274345634</v>
      </c>
      <c r="T153" s="41"/>
      <c r="U153" s="12"/>
      <c r="V153" s="11"/>
      <c r="W153" s="11"/>
      <c r="X153" s="11"/>
      <c r="Y153" s="11"/>
    </row>
    <row r="154" spans="1:45" x14ac:dyDescent="0.25">
      <c r="A154" t="s">
        <v>817</v>
      </c>
      <c r="C154"/>
      <c r="D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</row>
    <row r="155" spans="1:45" x14ac:dyDescent="0.25">
      <c r="C155"/>
      <c r="D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</row>
    <row r="156" spans="1:45" x14ac:dyDescent="0.25">
      <c r="A156" s="48" t="s">
        <v>807</v>
      </c>
      <c r="C156"/>
      <c r="D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</row>
    <row r="157" spans="1:45" x14ac:dyDescent="0.25">
      <c r="A157" s="1" t="s">
        <v>0</v>
      </c>
      <c r="B157" s="1" t="s">
        <v>1</v>
      </c>
      <c r="C157" s="23" t="s">
        <v>2</v>
      </c>
      <c r="D157" s="13" t="s">
        <v>3</v>
      </c>
      <c r="E157" s="1" t="s">
        <v>4</v>
      </c>
      <c r="F157" s="1" t="s">
        <v>5</v>
      </c>
      <c r="G157" s="13" t="s">
        <v>6</v>
      </c>
      <c r="H157" s="13" t="s">
        <v>7</v>
      </c>
      <c r="I157" s="18" t="s">
        <v>8</v>
      </c>
      <c r="J157" s="13" t="s">
        <v>9</v>
      </c>
      <c r="K157" s="13" t="s">
        <v>10</v>
      </c>
      <c r="L157" s="13" t="s">
        <v>11</v>
      </c>
      <c r="M157" s="28" t="s">
        <v>12</v>
      </c>
      <c r="N157" s="32" t="s">
        <v>13</v>
      </c>
      <c r="O157" s="37" t="s">
        <v>14</v>
      </c>
      <c r="P157" s="37" t="s">
        <v>15</v>
      </c>
      <c r="Q157" s="13" t="s">
        <v>16</v>
      </c>
      <c r="R157" s="13" t="s">
        <v>17</v>
      </c>
      <c r="S157" s="42" t="s">
        <v>18</v>
      </c>
      <c r="T157" s="37" t="s">
        <v>19</v>
      </c>
      <c r="U157" s="3" t="s">
        <v>20</v>
      </c>
      <c r="V157" s="1" t="s">
        <v>21</v>
      </c>
      <c r="W157" s="1" t="s">
        <v>22</v>
      </c>
      <c r="X157" s="1" t="s">
        <v>23</v>
      </c>
      <c r="Y157" s="1" t="s">
        <v>24</v>
      </c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</row>
    <row r="158" spans="1:45" x14ac:dyDescent="0.25">
      <c r="A158" t="s">
        <v>198</v>
      </c>
      <c r="B158" t="s">
        <v>199</v>
      </c>
      <c r="C158" s="24">
        <v>44523</v>
      </c>
      <c r="D158" s="14">
        <v>282500</v>
      </c>
      <c r="E158" t="s">
        <v>27</v>
      </c>
      <c r="F158" t="s">
        <v>28</v>
      </c>
      <c r="G158" s="14">
        <v>282500</v>
      </c>
      <c r="H158" s="14">
        <v>137500</v>
      </c>
      <c r="I158" s="19">
        <f>H158/G158*100</f>
        <v>48.672566371681413</v>
      </c>
      <c r="J158" s="14">
        <v>274993</v>
      </c>
      <c r="K158" s="14">
        <f>G158-205793</f>
        <v>76707</v>
      </c>
      <c r="L158" s="14">
        <v>69200</v>
      </c>
      <c r="M158" s="29">
        <v>0</v>
      </c>
      <c r="N158" s="33">
        <v>0</v>
      </c>
      <c r="O158" s="38">
        <v>2.4</v>
      </c>
      <c r="P158" s="38">
        <v>2.4</v>
      </c>
      <c r="Q158" s="14" t="e">
        <f>K158/M158</f>
        <v>#DIV/0!</v>
      </c>
      <c r="R158" s="14">
        <f>K158/O158</f>
        <v>31961.25</v>
      </c>
      <c r="S158" s="43">
        <f>K158/O158/43560</f>
        <v>0.7337293388429752</v>
      </c>
      <c r="T158" s="38">
        <v>0</v>
      </c>
      <c r="U158" s="5" t="s">
        <v>29</v>
      </c>
      <c r="V158" t="s">
        <v>200</v>
      </c>
      <c r="X158" t="s">
        <v>31</v>
      </c>
      <c r="Y158" s="6" t="s">
        <v>32</v>
      </c>
    </row>
    <row r="159" spans="1:45" x14ac:dyDescent="0.25">
      <c r="A159" t="s">
        <v>72</v>
      </c>
      <c r="B159" t="s">
        <v>73</v>
      </c>
      <c r="C159" s="24">
        <v>45184</v>
      </c>
      <c r="D159" s="14">
        <v>200000</v>
      </c>
      <c r="E159" t="s">
        <v>27</v>
      </c>
      <c r="F159" t="s">
        <v>28</v>
      </c>
      <c r="G159" s="14">
        <v>200000</v>
      </c>
      <c r="H159" s="14">
        <v>92600</v>
      </c>
      <c r="I159" s="19">
        <f>H159/G159*100</f>
        <v>46.300000000000004</v>
      </c>
      <c r="J159" s="14">
        <v>185222</v>
      </c>
      <c r="K159" s="14">
        <f>G159-116422</f>
        <v>83578</v>
      </c>
      <c r="L159" s="14">
        <v>68800</v>
      </c>
      <c r="M159" s="29">
        <v>0</v>
      </c>
      <c r="N159" s="33">
        <v>0</v>
      </c>
      <c r="O159" s="38">
        <v>2.35</v>
      </c>
      <c r="P159" s="38">
        <v>2.35</v>
      </c>
      <c r="Q159" s="14" t="e">
        <f>K159/M159</f>
        <v>#DIV/0!</v>
      </c>
      <c r="R159" s="14">
        <f>K159/O159</f>
        <v>35565.106382978724</v>
      </c>
      <c r="S159" s="43">
        <f>K159/O159/43560</f>
        <v>0.81646249731356113</v>
      </c>
      <c r="T159" s="38">
        <v>0</v>
      </c>
      <c r="U159" s="5" t="s">
        <v>29</v>
      </c>
      <c r="V159" t="s">
        <v>74</v>
      </c>
      <c r="X159" t="s">
        <v>31</v>
      </c>
      <c r="Y159" s="6" t="s">
        <v>32</v>
      </c>
    </row>
    <row r="160" spans="1:45" x14ac:dyDescent="0.25">
      <c r="A160" t="s">
        <v>284</v>
      </c>
      <c r="B160" t="s">
        <v>285</v>
      </c>
      <c r="C160" s="24">
        <v>44495</v>
      </c>
      <c r="D160" s="14">
        <v>199900</v>
      </c>
      <c r="E160" t="s">
        <v>27</v>
      </c>
      <c r="F160" t="s">
        <v>28</v>
      </c>
      <c r="G160" s="14">
        <v>199900</v>
      </c>
      <c r="H160" s="14">
        <v>96100</v>
      </c>
      <c r="I160" s="19">
        <f>H160/G160*100</f>
        <v>48.074037018509252</v>
      </c>
      <c r="J160" s="14">
        <v>192176</v>
      </c>
      <c r="K160" s="14">
        <f>G160-125936</f>
        <v>73964</v>
      </c>
      <c r="L160" s="14">
        <v>66240</v>
      </c>
      <c r="M160" s="29">
        <v>0</v>
      </c>
      <c r="N160" s="33">
        <v>0</v>
      </c>
      <c r="O160" s="38">
        <v>2.0299999999999998</v>
      </c>
      <c r="P160" s="38">
        <v>2.0299999999999998</v>
      </c>
      <c r="Q160" s="14" t="e">
        <f>K160/M160</f>
        <v>#DIV/0!</v>
      </c>
      <c r="R160" s="14">
        <f>K160/O160</f>
        <v>36435.467980295572</v>
      </c>
      <c r="S160" s="43">
        <f>K160/O160/43560</f>
        <v>0.8364432502363538</v>
      </c>
      <c r="T160" s="38">
        <v>0</v>
      </c>
      <c r="U160" s="5" t="s">
        <v>29</v>
      </c>
      <c r="V160" t="s">
        <v>286</v>
      </c>
      <c r="X160" t="s">
        <v>31</v>
      </c>
      <c r="Y160" s="6" t="s">
        <v>32</v>
      </c>
    </row>
    <row r="161" spans="1:45" x14ac:dyDescent="0.25">
      <c r="A161" t="s">
        <v>156</v>
      </c>
      <c r="B161" t="s">
        <v>157</v>
      </c>
      <c r="C161" s="24">
        <v>44348</v>
      </c>
      <c r="D161" s="14">
        <v>445000</v>
      </c>
      <c r="E161" t="s">
        <v>27</v>
      </c>
      <c r="F161" t="s">
        <v>28</v>
      </c>
      <c r="G161" s="14">
        <v>445000</v>
      </c>
      <c r="H161" s="14">
        <v>217800</v>
      </c>
      <c r="I161" s="19">
        <f>H161/G161*100</f>
        <v>48.943820224719104</v>
      </c>
      <c r="J161" s="14">
        <v>435610</v>
      </c>
      <c r="K161" s="14">
        <f>G161-369130</f>
        <v>75870</v>
      </c>
      <c r="L161" s="14">
        <v>66480</v>
      </c>
      <c r="M161" s="29">
        <v>0</v>
      </c>
      <c r="N161" s="33">
        <v>0</v>
      </c>
      <c r="O161" s="38">
        <v>2.06</v>
      </c>
      <c r="P161" s="38">
        <v>2.06</v>
      </c>
      <c r="Q161" s="14" t="e">
        <f>K161/M161</f>
        <v>#DIV/0!</v>
      </c>
      <c r="R161" s="14">
        <f>K161/O161</f>
        <v>36830.097087378643</v>
      </c>
      <c r="S161" s="43">
        <f>K161/O161/43560</f>
        <v>0.84550268795635086</v>
      </c>
      <c r="T161" s="38">
        <v>0</v>
      </c>
      <c r="U161" s="5" t="s">
        <v>29</v>
      </c>
      <c r="V161" t="s">
        <v>158</v>
      </c>
      <c r="X161" t="s">
        <v>31</v>
      </c>
      <c r="Y161" s="6" t="s">
        <v>32</v>
      </c>
    </row>
    <row r="162" spans="1:45" ht="15.75" thickBot="1" x14ac:dyDescent="0.3">
      <c r="A162" t="s">
        <v>239</v>
      </c>
      <c r="B162" t="s">
        <v>240</v>
      </c>
      <c r="C162" s="24">
        <v>44742</v>
      </c>
      <c r="D162" s="14">
        <v>370400</v>
      </c>
      <c r="E162" t="s">
        <v>27</v>
      </c>
      <c r="F162" t="s">
        <v>28</v>
      </c>
      <c r="G162" s="14">
        <v>370400</v>
      </c>
      <c r="H162" s="14">
        <v>167100</v>
      </c>
      <c r="I162" s="19">
        <f>H162/G162*100</f>
        <v>45.1133909287257</v>
      </c>
      <c r="J162" s="14">
        <v>334229</v>
      </c>
      <c r="K162" s="14">
        <f>G162-265989</f>
        <v>104411</v>
      </c>
      <c r="L162" s="14">
        <v>68240</v>
      </c>
      <c r="M162" s="29">
        <v>0</v>
      </c>
      <c r="N162" s="33">
        <v>0</v>
      </c>
      <c r="O162" s="38">
        <v>2.2799999999999998</v>
      </c>
      <c r="P162" s="38">
        <v>2.2799999999999998</v>
      </c>
      <c r="Q162" s="14" t="e">
        <f>K162/M162</f>
        <v>#DIV/0!</v>
      </c>
      <c r="R162" s="14">
        <f>K162/O162</f>
        <v>45794.298245614038</v>
      </c>
      <c r="S162" s="43">
        <f>K162/O162/43560</f>
        <v>1.0512924298809467</v>
      </c>
      <c r="T162" s="38">
        <v>0</v>
      </c>
      <c r="U162" s="5" t="s">
        <v>29</v>
      </c>
      <c r="V162" t="s">
        <v>241</v>
      </c>
      <c r="X162" t="s">
        <v>31</v>
      </c>
      <c r="Y162" s="6" t="s">
        <v>32</v>
      </c>
    </row>
    <row r="163" spans="1:45" ht="15.75" thickTop="1" x14ac:dyDescent="0.25">
      <c r="A163" s="7"/>
      <c r="B163" s="7"/>
      <c r="C163" s="25" t="s">
        <v>769</v>
      </c>
      <c r="D163" s="15">
        <f>+SUM(D158:D162)</f>
        <v>1497800</v>
      </c>
      <c r="E163" s="7"/>
      <c r="F163" s="7"/>
      <c r="G163" s="15">
        <f>+SUM(G158:G162)</f>
        <v>1497800</v>
      </c>
      <c r="H163" s="15">
        <f>+SUM(H158:H162)</f>
        <v>711100</v>
      </c>
      <c r="I163" s="20"/>
      <c r="J163" s="15">
        <f>+SUM(J158:J162)</f>
        <v>1422230</v>
      </c>
      <c r="K163" s="15">
        <f>+SUM(K158:K162)</f>
        <v>414530</v>
      </c>
      <c r="L163" s="15">
        <f>+SUM(L158:L162)</f>
        <v>338960</v>
      </c>
      <c r="M163" s="30">
        <f>+SUM(M158:M162)</f>
        <v>0</v>
      </c>
      <c r="N163" s="34"/>
      <c r="O163" s="39">
        <f>+SUM(O158:O162)</f>
        <v>11.12</v>
      </c>
      <c r="P163" s="39">
        <f>+SUM(P158:P162)</f>
        <v>11.12</v>
      </c>
      <c r="Q163" s="15"/>
      <c r="R163" s="15"/>
      <c r="S163" s="44"/>
      <c r="T163" s="39"/>
      <c r="U163" s="8"/>
      <c r="V163" s="7"/>
      <c r="W163" s="7"/>
      <c r="X163" s="7"/>
      <c r="Y163" s="7"/>
    </row>
    <row r="164" spans="1:45" x14ac:dyDescent="0.25">
      <c r="A164" s="9"/>
      <c r="B164" s="9"/>
      <c r="C164" s="26"/>
      <c r="D164" s="16"/>
      <c r="E164" s="9"/>
      <c r="F164" s="9"/>
      <c r="G164" s="16"/>
      <c r="H164" s="16" t="s">
        <v>770</v>
      </c>
      <c r="I164" s="21">
        <f>H163/G163*100</f>
        <v>47.476298571237812</v>
      </c>
      <c r="J164" s="16"/>
      <c r="K164" s="16"/>
      <c r="L164" s="16" t="s">
        <v>771</v>
      </c>
      <c r="M164" s="31"/>
      <c r="N164" s="35"/>
      <c r="O164" s="40" t="s">
        <v>771</v>
      </c>
      <c r="P164" s="40"/>
      <c r="Q164" s="16"/>
      <c r="R164" s="16" t="s">
        <v>771</v>
      </c>
      <c r="S164" s="45"/>
      <c r="T164" s="40"/>
      <c r="U164" s="10"/>
      <c r="V164" s="9"/>
      <c r="W164" s="9"/>
      <c r="X164" s="9"/>
      <c r="Y164" s="9"/>
    </row>
    <row r="165" spans="1:45" x14ac:dyDescent="0.25">
      <c r="A165" s="11"/>
      <c r="B165" s="11"/>
      <c r="C165" s="27"/>
      <c r="D165" s="17"/>
      <c r="E165" s="11"/>
      <c r="F165" s="11"/>
      <c r="G165" s="17"/>
      <c r="H165" s="17" t="s">
        <v>772</v>
      </c>
      <c r="I165" s="22">
        <f>STDEV(I158:I162)</f>
        <v>1.6502694864662895</v>
      </c>
      <c r="J165" s="17"/>
      <c r="K165" s="17"/>
      <c r="L165" s="17" t="s">
        <v>773</v>
      </c>
      <c r="M165" s="47" t="e">
        <f>K163/M163</f>
        <v>#DIV/0!</v>
      </c>
      <c r="N165" s="36"/>
      <c r="O165" s="41" t="s">
        <v>774</v>
      </c>
      <c r="P165" s="41">
        <f>K163/O163</f>
        <v>37277.87769784173</v>
      </c>
      <c r="Q165" s="17"/>
      <c r="R165" s="17" t="s">
        <v>775</v>
      </c>
      <c r="S165" s="46">
        <f>K163/O163/43560</f>
        <v>0.85578231629572388</v>
      </c>
      <c r="T165" s="41"/>
      <c r="U165" s="12"/>
      <c r="V165" s="11"/>
      <c r="W165" s="11"/>
      <c r="X165" s="11"/>
      <c r="Y165" s="11"/>
    </row>
    <row r="166" spans="1:45" x14ac:dyDescent="0.25">
      <c r="A166" t="s">
        <v>817</v>
      </c>
      <c r="C166"/>
      <c r="D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</row>
    <row r="167" spans="1:45" x14ac:dyDescent="0.25">
      <c r="C167"/>
      <c r="D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</row>
    <row r="168" spans="1:45" x14ac:dyDescent="0.25">
      <c r="A168" s="48" t="s">
        <v>808</v>
      </c>
      <c r="C168"/>
      <c r="D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</row>
    <row r="169" spans="1:45" x14ac:dyDescent="0.25">
      <c r="A169" s="1" t="s">
        <v>0</v>
      </c>
      <c r="B169" s="1" t="s">
        <v>1</v>
      </c>
      <c r="C169" s="23" t="s">
        <v>2</v>
      </c>
      <c r="D169" s="13" t="s">
        <v>3</v>
      </c>
      <c r="E169" s="1" t="s">
        <v>4</v>
      </c>
      <c r="F169" s="1" t="s">
        <v>5</v>
      </c>
      <c r="G169" s="13" t="s">
        <v>6</v>
      </c>
      <c r="H169" s="13" t="s">
        <v>7</v>
      </c>
      <c r="I169" s="18" t="s">
        <v>8</v>
      </c>
      <c r="J169" s="13" t="s">
        <v>9</v>
      </c>
      <c r="K169" s="13" t="s">
        <v>10</v>
      </c>
      <c r="L169" s="13" t="s">
        <v>11</v>
      </c>
      <c r="M169" s="28" t="s">
        <v>12</v>
      </c>
      <c r="N169" s="32" t="s">
        <v>13</v>
      </c>
      <c r="O169" s="37" t="s">
        <v>14</v>
      </c>
      <c r="P169" s="37" t="s">
        <v>15</v>
      </c>
      <c r="Q169" s="13" t="s">
        <v>16</v>
      </c>
      <c r="R169" s="13" t="s">
        <v>17</v>
      </c>
      <c r="S169" s="42" t="s">
        <v>18</v>
      </c>
      <c r="T169" s="37" t="s">
        <v>19</v>
      </c>
      <c r="U169" s="3" t="s">
        <v>20</v>
      </c>
      <c r="V169" s="1" t="s">
        <v>21</v>
      </c>
      <c r="W169" s="1" t="s">
        <v>22</v>
      </c>
      <c r="X169" s="1" t="s">
        <v>23</v>
      </c>
      <c r="Y169" s="1" t="s">
        <v>24</v>
      </c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</row>
    <row r="170" spans="1:45" x14ac:dyDescent="0.25">
      <c r="A170" t="s">
        <v>535</v>
      </c>
      <c r="B170" t="s">
        <v>536</v>
      </c>
      <c r="C170" s="24">
        <v>44553</v>
      </c>
      <c r="D170" s="14">
        <v>185000</v>
      </c>
      <c r="E170" t="s">
        <v>27</v>
      </c>
      <c r="F170" t="s">
        <v>28</v>
      </c>
      <c r="G170" s="14">
        <v>185000</v>
      </c>
      <c r="H170" s="14">
        <v>87200</v>
      </c>
      <c r="I170" s="19">
        <f>H170/G170*100</f>
        <v>47.135135135135137</v>
      </c>
      <c r="J170" s="14">
        <v>174476</v>
      </c>
      <c r="K170" s="14">
        <f>G170-104446</f>
        <v>80554</v>
      </c>
      <c r="L170" s="14">
        <v>70030</v>
      </c>
      <c r="M170" s="29">
        <v>0</v>
      </c>
      <c r="N170" s="33">
        <v>0</v>
      </c>
      <c r="O170" s="38">
        <v>2.5299999999999998</v>
      </c>
      <c r="P170" s="38">
        <v>2.5299999999999998</v>
      </c>
      <c r="Q170" s="14" t="e">
        <f>K170/M170</f>
        <v>#DIV/0!</v>
      </c>
      <c r="R170" s="14">
        <f>K170/O170</f>
        <v>31839.525691699608</v>
      </c>
      <c r="S170" s="43">
        <f>K170/O170/43560</f>
        <v>0.7309349332346099</v>
      </c>
      <c r="T170" s="38">
        <v>0</v>
      </c>
      <c r="U170" s="5" t="s">
        <v>29</v>
      </c>
      <c r="V170" t="s">
        <v>537</v>
      </c>
      <c r="X170" t="s">
        <v>31</v>
      </c>
      <c r="Y170" s="6" t="s">
        <v>32</v>
      </c>
    </row>
    <row r="171" spans="1:45" x14ac:dyDescent="0.25">
      <c r="A171" t="s">
        <v>114</v>
      </c>
      <c r="B171" t="s">
        <v>115</v>
      </c>
      <c r="C171" s="24">
        <v>44782</v>
      </c>
      <c r="D171" s="14">
        <v>130000</v>
      </c>
      <c r="E171" t="s">
        <v>27</v>
      </c>
      <c r="F171" t="s">
        <v>28</v>
      </c>
      <c r="G171" s="14">
        <v>130000</v>
      </c>
      <c r="H171" s="14">
        <v>63600</v>
      </c>
      <c r="I171" s="19">
        <f>H171/G171*100</f>
        <v>48.923076923076927</v>
      </c>
      <c r="J171" s="14">
        <v>127200</v>
      </c>
      <c r="K171" s="14">
        <f>G171-57020</f>
        <v>72980</v>
      </c>
      <c r="L171" s="14">
        <v>70180</v>
      </c>
      <c r="M171" s="29">
        <v>0</v>
      </c>
      <c r="N171" s="33">
        <v>0</v>
      </c>
      <c r="O171" s="38">
        <v>2.68</v>
      </c>
      <c r="P171" s="38">
        <v>2.68</v>
      </c>
      <c r="Q171" s="14" t="e">
        <f>K171/M171</f>
        <v>#DIV/0!</v>
      </c>
      <c r="R171" s="14">
        <f>K171/O171</f>
        <v>27231.343283582089</v>
      </c>
      <c r="S171" s="43">
        <f>K171/O171/43560</f>
        <v>0.62514562175349153</v>
      </c>
      <c r="T171" s="38">
        <v>0</v>
      </c>
      <c r="U171" s="5" t="s">
        <v>29</v>
      </c>
      <c r="V171" t="s">
        <v>116</v>
      </c>
      <c r="X171" t="s">
        <v>31</v>
      </c>
      <c r="Y171" s="6" t="s">
        <v>32</v>
      </c>
    </row>
    <row r="172" spans="1:45" ht="15.75" thickBot="1" x14ac:dyDescent="0.3">
      <c r="A172" t="s">
        <v>302</v>
      </c>
      <c r="B172" t="s">
        <v>303</v>
      </c>
      <c r="C172" s="24">
        <v>44875</v>
      </c>
      <c r="D172" s="14">
        <v>172200</v>
      </c>
      <c r="E172" t="s">
        <v>27</v>
      </c>
      <c r="F172" t="s">
        <v>28</v>
      </c>
      <c r="G172" s="14">
        <v>172200</v>
      </c>
      <c r="H172" s="14">
        <v>67700</v>
      </c>
      <c r="I172" s="19">
        <f>H172/G172*100</f>
        <v>39.314750290360045</v>
      </c>
      <c r="J172" s="14">
        <v>135480</v>
      </c>
      <c r="K172" s="14">
        <f>G172-82792</f>
        <v>89408</v>
      </c>
      <c r="L172" s="14">
        <v>52688</v>
      </c>
      <c r="M172" s="29">
        <v>0</v>
      </c>
      <c r="N172" s="33">
        <v>0</v>
      </c>
      <c r="O172" s="38">
        <v>2.75</v>
      </c>
      <c r="P172" s="38">
        <v>2.75</v>
      </c>
      <c r="Q172" s="14" t="e">
        <f>K172/M172</f>
        <v>#DIV/0!</v>
      </c>
      <c r="R172" s="14">
        <f>K172/O172</f>
        <v>32512</v>
      </c>
      <c r="S172" s="43">
        <f>K172/O172/43560</f>
        <v>0.74637281910009179</v>
      </c>
      <c r="T172" s="38">
        <v>0</v>
      </c>
      <c r="U172" s="5" t="s">
        <v>29</v>
      </c>
      <c r="V172" t="s">
        <v>304</v>
      </c>
      <c r="X172" t="s">
        <v>31</v>
      </c>
      <c r="Y172" s="6" t="s">
        <v>32</v>
      </c>
    </row>
    <row r="173" spans="1:45" ht="15.75" thickTop="1" x14ac:dyDescent="0.25">
      <c r="A173" s="7"/>
      <c r="B173" s="7"/>
      <c r="C173" s="25" t="s">
        <v>769</v>
      </c>
      <c r="D173" s="15">
        <f>+SUM(D170:D172)</f>
        <v>487200</v>
      </c>
      <c r="E173" s="7"/>
      <c r="F173" s="7"/>
      <c r="G173" s="15">
        <f>+SUM(G170:G172)</f>
        <v>487200</v>
      </c>
      <c r="H173" s="15">
        <f>+SUM(H170:H172)</f>
        <v>218500</v>
      </c>
      <c r="I173" s="20"/>
      <c r="J173" s="15">
        <f>+SUM(J170:J172)</f>
        <v>437156</v>
      </c>
      <c r="K173" s="15">
        <f>+SUM(K170:K172)</f>
        <v>242942</v>
      </c>
      <c r="L173" s="15">
        <f>+SUM(L170:L172)</f>
        <v>192898</v>
      </c>
      <c r="M173" s="30">
        <f>+SUM(M170:M172)</f>
        <v>0</v>
      </c>
      <c r="N173" s="34"/>
      <c r="O173" s="39">
        <f>+SUM(O170:O172)</f>
        <v>7.96</v>
      </c>
      <c r="P173" s="39">
        <f>+SUM(P170:P172)</f>
        <v>7.96</v>
      </c>
      <c r="Q173" s="15"/>
      <c r="R173" s="15"/>
      <c r="S173" s="44"/>
      <c r="T173" s="39"/>
      <c r="U173" s="8"/>
      <c r="V173" s="7"/>
      <c r="W173" s="7"/>
      <c r="X173" s="7"/>
      <c r="Y173" s="7"/>
    </row>
    <row r="174" spans="1:45" x14ac:dyDescent="0.25">
      <c r="A174" s="9"/>
      <c r="B174" s="9"/>
      <c r="C174" s="26"/>
      <c r="D174" s="16"/>
      <c r="E174" s="9"/>
      <c r="F174" s="9"/>
      <c r="G174" s="16"/>
      <c r="H174" s="16" t="s">
        <v>770</v>
      </c>
      <c r="I174" s="21">
        <f>H173/G173*100</f>
        <v>44.848111658456489</v>
      </c>
      <c r="J174" s="16"/>
      <c r="K174" s="16"/>
      <c r="L174" s="16" t="s">
        <v>771</v>
      </c>
      <c r="M174" s="31"/>
      <c r="N174" s="35"/>
      <c r="O174" s="40" t="s">
        <v>771</v>
      </c>
      <c r="P174" s="40"/>
      <c r="Q174" s="16"/>
      <c r="R174" s="16" t="s">
        <v>771</v>
      </c>
      <c r="S174" s="45"/>
      <c r="T174" s="40"/>
      <c r="U174" s="10"/>
      <c r="V174" s="9"/>
      <c r="W174" s="9"/>
      <c r="X174" s="9"/>
      <c r="Y174" s="9"/>
    </row>
    <row r="175" spans="1:45" x14ac:dyDescent="0.25">
      <c r="A175" s="11"/>
      <c r="B175" s="11"/>
      <c r="C175" s="27"/>
      <c r="D175" s="17"/>
      <c r="E175" s="11"/>
      <c r="F175" s="11"/>
      <c r="G175" s="17"/>
      <c r="H175" s="17" t="s">
        <v>772</v>
      </c>
      <c r="I175" s="22">
        <f>STDEV(I170:I172)</f>
        <v>5.1100406984425106</v>
      </c>
      <c r="J175" s="17"/>
      <c r="K175" s="17"/>
      <c r="L175" s="17" t="s">
        <v>773</v>
      </c>
      <c r="M175" s="47" t="e">
        <f>K173/M173</f>
        <v>#DIV/0!</v>
      </c>
      <c r="N175" s="36"/>
      <c r="O175" s="41" t="s">
        <v>774</v>
      </c>
      <c r="P175" s="41">
        <f>K173/O173</f>
        <v>30520.351758793971</v>
      </c>
      <c r="Q175" s="17"/>
      <c r="R175" s="17" t="s">
        <v>775</v>
      </c>
      <c r="S175" s="46">
        <f>K173/O173/43560</f>
        <v>0.70065086682263478</v>
      </c>
      <c r="T175" s="41"/>
      <c r="U175" s="12"/>
      <c r="V175" s="11"/>
      <c r="W175" s="11"/>
      <c r="X175" s="11"/>
      <c r="Y175" s="11"/>
    </row>
    <row r="176" spans="1:45" x14ac:dyDescent="0.25">
      <c r="A176" t="s">
        <v>817</v>
      </c>
      <c r="C176"/>
      <c r="D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</row>
    <row r="177" spans="1:45" x14ac:dyDescent="0.25">
      <c r="C177"/>
      <c r="D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</row>
    <row r="178" spans="1:45" x14ac:dyDescent="0.25">
      <c r="A178" s="48" t="s">
        <v>809</v>
      </c>
      <c r="C178"/>
      <c r="D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</row>
    <row r="179" spans="1:45" x14ac:dyDescent="0.25">
      <c r="A179" s="1" t="s">
        <v>0</v>
      </c>
      <c r="B179" s="1" t="s">
        <v>1</v>
      </c>
      <c r="C179" s="23" t="s">
        <v>2</v>
      </c>
      <c r="D179" s="13" t="s">
        <v>3</v>
      </c>
      <c r="E179" s="1" t="s">
        <v>4</v>
      </c>
      <c r="F179" s="1" t="s">
        <v>5</v>
      </c>
      <c r="G179" s="13" t="s">
        <v>6</v>
      </c>
      <c r="H179" s="13" t="s">
        <v>7</v>
      </c>
      <c r="I179" s="18" t="s">
        <v>8</v>
      </c>
      <c r="J179" s="13" t="s">
        <v>9</v>
      </c>
      <c r="K179" s="13" t="s">
        <v>10</v>
      </c>
      <c r="L179" s="13" t="s">
        <v>11</v>
      </c>
      <c r="M179" s="28" t="s">
        <v>12</v>
      </c>
      <c r="N179" s="32" t="s">
        <v>13</v>
      </c>
      <c r="O179" s="37" t="s">
        <v>14</v>
      </c>
      <c r="P179" s="37" t="s">
        <v>15</v>
      </c>
      <c r="Q179" s="13" t="s">
        <v>16</v>
      </c>
      <c r="R179" s="13" t="s">
        <v>17</v>
      </c>
      <c r="S179" s="42" t="s">
        <v>18</v>
      </c>
      <c r="T179" s="37" t="s">
        <v>19</v>
      </c>
      <c r="U179" s="3" t="s">
        <v>20</v>
      </c>
      <c r="V179" s="1" t="s">
        <v>21</v>
      </c>
      <c r="W179" s="1" t="s">
        <v>22</v>
      </c>
      <c r="X179" s="1" t="s">
        <v>23</v>
      </c>
      <c r="Y179" s="1" t="s">
        <v>24</v>
      </c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</row>
    <row r="180" spans="1:45" x14ac:dyDescent="0.25">
      <c r="A180" t="s">
        <v>254</v>
      </c>
      <c r="B180" t="s">
        <v>255</v>
      </c>
      <c r="C180" s="24">
        <v>44749</v>
      </c>
      <c r="D180" s="14">
        <v>45000</v>
      </c>
      <c r="E180" t="s">
        <v>27</v>
      </c>
      <c r="F180" t="s">
        <v>28</v>
      </c>
      <c r="G180" s="14">
        <v>45000</v>
      </c>
      <c r="H180" s="14">
        <v>36100</v>
      </c>
      <c r="I180" s="19">
        <f t="shared" ref="I180:I187" si="25">H180/G180*100</f>
        <v>80.222222222222214</v>
      </c>
      <c r="J180" s="14">
        <v>72180</v>
      </c>
      <c r="K180" s="14">
        <f>G180-0</f>
        <v>45000</v>
      </c>
      <c r="L180" s="14">
        <v>72180</v>
      </c>
      <c r="M180" s="29">
        <v>0</v>
      </c>
      <c r="N180" s="33">
        <v>0</v>
      </c>
      <c r="O180" s="38">
        <v>3.48</v>
      </c>
      <c r="P180" s="38">
        <v>3.48</v>
      </c>
      <c r="Q180" s="14" t="e">
        <f t="shared" ref="Q180:Q187" si="26">K180/M180</f>
        <v>#DIV/0!</v>
      </c>
      <c r="R180" s="14">
        <f t="shared" ref="R180:R187" si="27">K180/O180</f>
        <v>12931.034482758621</v>
      </c>
      <c r="S180" s="43">
        <f t="shared" ref="S180:S187" si="28">K180/O180/43560</f>
        <v>0.29685570437921538</v>
      </c>
      <c r="T180" s="38">
        <v>0</v>
      </c>
      <c r="U180" s="5" t="s">
        <v>29</v>
      </c>
      <c r="V180" t="s">
        <v>256</v>
      </c>
      <c r="X180" t="s">
        <v>31</v>
      </c>
      <c r="Y180" s="6" t="s">
        <v>113</v>
      </c>
    </row>
    <row r="181" spans="1:45" x14ac:dyDescent="0.25">
      <c r="A181" t="s">
        <v>177</v>
      </c>
      <c r="B181" t="s">
        <v>178</v>
      </c>
      <c r="C181" s="24">
        <v>45163</v>
      </c>
      <c r="D181" s="14">
        <v>64000</v>
      </c>
      <c r="E181" t="s">
        <v>27</v>
      </c>
      <c r="F181" t="s">
        <v>28</v>
      </c>
      <c r="G181" s="14">
        <v>64000</v>
      </c>
      <c r="H181" s="14">
        <v>36200</v>
      </c>
      <c r="I181" s="19">
        <f t="shared" si="25"/>
        <v>56.562500000000007</v>
      </c>
      <c r="J181" s="14">
        <v>72397</v>
      </c>
      <c r="K181" s="14">
        <f>G181-0</f>
        <v>64000</v>
      </c>
      <c r="L181" s="14">
        <v>72397</v>
      </c>
      <c r="M181" s="29">
        <v>0</v>
      </c>
      <c r="N181" s="33">
        <v>0</v>
      </c>
      <c r="O181" s="38">
        <v>3.5419999999999998</v>
      </c>
      <c r="P181" s="38">
        <v>3.5419999999999998</v>
      </c>
      <c r="Q181" s="14" t="e">
        <f t="shared" si="26"/>
        <v>#DIV/0!</v>
      </c>
      <c r="R181" s="14">
        <f t="shared" si="27"/>
        <v>18068.887634105027</v>
      </c>
      <c r="S181" s="43">
        <f t="shared" si="28"/>
        <v>0.41480458296843498</v>
      </c>
      <c r="T181" s="38">
        <v>0</v>
      </c>
      <c r="U181" s="5" t="s">
        <v>29</v>
      </c>
      <c r="V181" t="s">
        <v>179</v>
      </c>
      <c r="X181" t="s">
        <v>31</v>
      </c>
      <c r="Y181" s="6" t="s">
        <v>113</v>
      </c>
    </row>
    <row r="182" spans="1:45" x14ac:dyDescent="0.25">
      <c r="A182" t="s">
        <v>275</v>
      </c>
      <c r="B182" t="s">
        <v>276</v>
      </c>
      <c r="C182" s="24">
        <v>44742</v>
      </c>
      <c r="D182" s="14">
        <v>250000</v>
      </c>
      <c r="E182" t="s">
        <v>27</v>
      </c>
      <c r="F182" t="s">
        <v>28</v>
      </c>
      <c r="G182" s="14">
        <v>250000</v>
      </c>
      <c r="H182" s="14">
        <v>126800</v>
      </c>
      <c r="I182" s="19">
        <f t="shared" si="25"/>
        <v>50.72</v>
      </c>
      <c r="J182" s="14">
        <v>253645</v>
      </c>
      <c r="K182" s="14">
        <f>G182-180450</f>
        <v>69550</v>
      </c>
      <c r="L182" s="14">
        <v>73195</v>
      </c>
      <c r="M182" s="29">
        <v>0</v>
      </c>
      <c r="N182" s="33">
        <v>0</v>
      </c>
      <c r="O182" s="38">
        <v>3.77</v>
      </c>
      <c r="P182" s="38">
        <v>3.77</v>
      </c>
      <c r="Q182" s="14" t="e">
        <f t="shared" si="26"/>
        <v>#DIV/0!</v>
      </c>
      <c r="R182" s="14">
        <f t="shared" si="27"/>
        <v>18448.275862068964</v>
      </c>
      <c r="S182" s="43">
        <f t="shared" si="28"/>
        <v>0.42351413824768053</v>
      </c>
      <c r="T182" s="38">
        <v>0</v>
      </c>
      <c r="U182" s="5" t="s">
        <v>29</v>
      </c>
      <c r="V182" t="s">
        <v>277</v>
      </c>
      <c r="X182" t="s">
        <v>31</v>
      </c>
      <c r="Y182" s="6" t="s">
        <v>32</v>
      </c>
    </row>
    <row r="183" spans="1:45" x14ac:dyDescent="0.25">
      <c r="A183" t="s">
        <v>192</v>
      </c>
      <c r="B183" t="s">
        <v>193</v>
      </c>
      <c r="C183" s="24">
        <v>44769</v>
      </c>
      <c r="D183" s="14">
        <v>340000</v>
      </c>
      <c r="E183" t="s">
        <v>27</v>
      </c>
      <c r="F183" t="s">
        <v>28</v>
      </c>
      <c r="G183" s="14">
        <v>340000</v>
      </c>
      <c r="H183" s="14">
        <v>165800</v>
      </c>
      <c r="I183" s="19">
        <f t="shared" si="25"/>
        <v>48.764705882352942</v>
      </c>
      <c r="J183" s="14">
        <v>331510</v>
      </c>
      <c r="K183" s="14">
        <f>G183-258350</f>
        <v>81650</v>
      </c>
      <c r="L183" s="14">
        <v>73160</v>
      </c>
      <c r="M183" s="29">
        <v>0</v>
      </c>
      <c r="N183" s="33">
        <v>0</v>
      </c>
      <c r="O183" s="38">
        <v>3.76</v>
      </c>
      <c r="P183" s="38">
        <v>3.76</v>
      </c>
      <c r="Q183" s="14" t="e">
        <f t="shared" si="26"/>
        <v>#DIV/0!</v>
      </c>
      <c r="R183" s="14">
        <f t="shared" si="27"/>
        <v>21715.425531914894</v>
      </c>
      <c r="S183" s="43">
        <f t="shared" si="28"/>
        <v>0.49851757419455678</v>
      </c>
      <c r="T183" s="38">
        <v>0</v>
      </c>
      <c r="U183" s="5" t="s">
        <v>29</v>
      </c>
      <c r="V183" t="s">
        <v>194</v>
      </c>
      <c r="X183" t="s">
        <v>31</v>
      </c>
      <c r="Y183" s="6" t="s">
        <v>32</v>
      </c>
    </row>
    <row r="184" spans="1:45" x14ac:dyDescent="0.25">
      <c r="A184" t="s">
        <v>266</v>
      </c>
      <c r="B184" t="s">
        <v>267</v>
      </c>
      <c r="C184" s="24">
        <v>44736</v>
      </c>
      <c r="D184" s="14">
        <v>335000</v>
      </c>
      <c r="E184" t="s">
        <v>27</v>
      </c>
      <c r="F184" t="s">
        <v>28</v>
      </c>
      <c r="G184" s="14">
        <v>335000</v>
      </c>
      <c r="H184" s="14">
        <v>148100</v>
      </c>
      <c r="I184" s="19">
        <f t="shared" si="25"/>
        <v>44.208955223880594</v>
      </c>
      <c r="J184" s="14">
        <v>296265</v>
      </c>
      <c r="K184" s="14">
        <f>G184-222790</f>
        <v>112210</v>
      </c>
      <c r="L184" s="14">
        <v>73475</v>
      </c>
      <c r="M184" s="29">
        <v>0</v>
      </c>
      <c r="N184" s="33">
        <v>0</v>
      </c>
      <c r="O184" s="38">
        <v>3.85</v>
      </c>
      <c r="P184" s="38">
        <v>3.85</v>
      </c>
      <c r="Q184" s="14" t="e">
        <f t="shared" si="26"/>
        <v>#DIV/0!</v>
      </c>
      <c r="R184" s="14">
        <f t="shared" si="27"/>
        <v>29145.454545454544</v>
      </c>
      <c r="S184" s="43">
        <f t="shared" si="28"/>
        <v>0.66908756991401619</v>
      </c>
      <c r="T184" s="38">
        <v>0</v>
      </c>
      <c r="U184" s="5" t="s">
        <v>29</v>
      </c>
      <c r="V184" t="s">
        <v>268</v>
      </c>
      <c r="X184" t="s">
        <v>31</v>
      </c>
      <c r="Y184" s="6" t="s">
        <v>32</v>
      </c>
    </row>
    <row r="185" spans="1:45" x14ac:dyDescent="0.25">
      <c r="A185" t="s">
        <v>618</v>
      </c>
      <c r="B185" t="s">
        <v>619</v>
      </c>
      <c r="C185" s="24">
        <v>45183</v>
      </c>
      <c r="D185" s="14">
        <v>373000</v>
      </c>
      <c r="E185" t="s">
        <v>620</v>
      </c>
      <c r="F185" t="s">
        <v>42</v>
      </c>
      <c r="G185" s="14">
        <v>373000</v>
      </c>
      <c r="H185" s="14">
        <v>160000</v>
      </c>
      <c r="I185" s="19">
        <f t="shared" si="25"/>
        <v>42.89544235924933</v>
      </c>
      <c r="J185" s="14">
        <v>319922</v>
      </c>
      <c r="K185" s="14">
        <f>G185-252642</f>
        <v>120358</v>
      </c>
      <c r="L185" s="14">
        <v>67280</v>
      </c>
      <c r="M185" s="29">
        <v>0</v>
      </c>
      <c r="N185" s="33">
        <v>0</v>
      </c>
      <c r="O185" s="38">
        <v>3.98</v>
      </c>
      <c r="P185" s="38">
        <v>2.16</v>
      </c>
      <c r="Q185" s="14" t="e">
        <f t="shared" si="26"/>
        <v>#DIV/0!</v>
      </c>
      <c r="R185" s="14">
        <f t="shared" si="27"/>
        <v>30240.703517587939</v>
      </c>
      <c r="S185" s="43">
        <f t="shared" si="28"/>
        <v>0.69423102657456237</v>
      </c>
      <c r="T185" s="38">
        <v>0</v>
      </c>
      <c r="U185" s="5" t="s">
        <v>615</v>
      </c>
      <c r="W185" t="s">
        <v>621</v>
      </c>
      <c r="X185" t="s">
        <v>617</v>
      </c>
      <c r="Y185" s="6" t="s">
        <v>32</v>
      </c>
    </row>
    <row r="186" spans="1:45" x14ac:dyDescent="0.25">
      <c r="A186" t="s">
        <v>219</v>
      </c>
      <c r="B186" t="s">
        <v>220</v>
      </c>
      <c r="C186" s="24">
        <v>44456</v>
      </c>
      <c r="D186" s="14">
        <v>305000</v>
      </c>
      <c r="E186" t="s">
        <v>27</v>
      </c>
      <c r="F186" t="s">
        <v>28</v>
      </c>
      <c r="G186" s="14">
        <v>305000</v>
      </c>
      <c r="H186" s="14">
        <v>132800</v>
      </c>
      <c r="I186" s="19">
        <f t="shared" si="25"/>
        <v>43.540983606557376</v>
      </c>
      <c r="J186" s="14">
        <v>265544</v>
      </c>
      <c r="K186" s="14">
        <f>G186-193259</f>
        <v>111741</v>
      </c>
      <c r="L186" s="14">
        <v>72285</v>
      </c>
      <c r="M186" s="29">
        <v>0</v>
      </c>
      <c r="N186" s="33">
        <v>0</v>
      </c>
      <c r="O186" s="38">
        <v>3.51</v>
      </c>
      <c r="P186" s="38">
        <v>3.51</v>
      </c>
      <c r="Q186" s="14" t="e">
        <f t="shared" si="26"/>
        <v>#DIV/0!</v>
      </c>
      <c r="R186" s="14">
        <f t="shared" si="27"/>
        <v>31835.042735042738</v>
      </c>
      <c r="S186" s="43">
        <f t="shared" si="28"/>
        <v>0.73083201871080661</v>
      </c>
      <c r="T186" s="38">
        <v>0</v>
      </c>
      <c r="U186" s="5" t="s">
        <v>29</v>
      </c>
      <c r="V186" t="s">
        <v>221</v>
      </c>
      <c r="X186" t="s">
        <v>31</v>
      </c>
      <c r="Y186" s="6" t="s">
        <v>32</v>
      </c>
    </row>
    <row r="187" spans="1:45" ht="15.75" thickBot="1" x14ac:dyDescent="0.3">
      <c r="A187" t="s">
        <v>529</v>
      </c>
      <c r="B187" t="s">
        <v>530</v>
      </c>
      <c r="C187" s="24">
        <v>44439</v>
      </c>
      <c r="D187" s="14">
        <v>200000</v>
      </c>
      <c r="E187" t="s">
        <v>27</v>
      </c>
      <c r="F187" t="s">
        <v>28</v>
      </c>
      <c r="G187" s="14">
        <v>200000</v>
      </c>
      <c r="H187" s="14">
        <v>82900</v>
      </c>
      <c r="I187" s="19">
        <f t="shared" si="25"/>
        <v>41.449999999999996</v>
      </c>
      <c r="J187" s="14">
        <v>165770</v>
      </c>
      <c r="K187" s="14">
        <f>G187-95095</f>
        <v>104905</v>
      </c>
      <c r="L187" s="14">
        <v>70675</v>
      </c>
      <c r="M187" s="29">
        <v>0</v>
      </c>
      <c r="N187" s="33">
        <v>0</v>
      </c>
      <c r="O187" s="38">
        <v>3.05</v>
      </c>
      <c r="P187" s="38">
        <v>3.05</v>
      </c>
      <c r="Q187" s="14" t="e">
        <f t="shared" si="26"/>
        <v>#DIV/0!</v>
      </c>
      <c r="R187" s="14">
        <f t="shared" si="27"/>
        <v>34395.081967213118</v>
      </c>
      <c r="S187" s="43">
        <f t="shared" si="28"/>
        <v>0.78960243267247743</v>
      </c>
      <c r="T187" s="38">
        <v>0</v>
      </c>
      <c r="U187" s="5" t="s">
        <v>29</v>
      </c>
      <c r="V187" t="s">
        <v>531</v>
      </c>
      <c r="X187" t="s">
        <v>31</v>
      </c>
      <c r="Y187" s="6" t="s">
        <v>32</v>
      </c>
    </row>
    <row r="188" spans="1:45" ht="15.75" thickTop="1" x14ac:dyDescent="0.25">
      <c r="A188" s="7"/>
      <c r="B188" s="7"/>
      <c r="C188" s="25" t="s">
        <v>769</v>
      </c>
      <c r="D188" s="15">
        <f>+SUM(D180:D187)</f>
        <v>1912000</v>
      </c>
      <c r="E188" s="7"/>
      <c r="F188" s="7"/>
      <c r="G188" s="15">
        <f>+SUM(G180:G187)</f>
        <v>1912000</v>
      </c>
      <c r="H188" s="15">
        <f>+SUM(H180:H187)</f>
        <v>888700</v>
      </c>
      <c r="I188" s="20"/>
      <c r="J188" s="15">
        <f>+SUM(J180:J187)</f>
        <v>1777233</v>
      </c>
      <c r="K188" s="15">
        <f>+SUM(K180:K187)</f>
        <v>709414</v>
      </c>
      <c r="L188" s="15">
        <f>+SUM(L180:L187)</f>
        <v>574647</v>
      </c>
      <c r="M188" s="30">
        <f>+SUM(M180:M187)</f>
        <v>0</v>
      </c>
      <c r="N188" s="34"/>
      <c r="O188" s="39">
        <f>+SUM(O180:O187)</f>
        <v>28.942000000000004</v>
      </c>
      <c r="P188" s="39">
        <f>+SUM(P180:P187)</f>
        <v>27.122000000000003</v>
      </c>
      <c r="Q188" s="15"/>
      <c r="R188" s="15"/>
      <c r="S188" s="44"/>
      <c r="T188" s="39"/>
      <c r="U188" s="8"/>
      <c r="V188" s="7"/>
      <c r="W188" s="7"/>
      <c r="X188" s="7"/>
      <c r="Y188" s="7"/>
    </row>
    <row r="189" spans="1:45" x14ac:dyDescent="0.25">
      <c r="A189" s="9"/>
      <c r="B189" s="9"/>
      <c r="C189" s="26"/>
      <c r="D189" s="16"/>
      <c r="E189" s="9"/>
      <c r="F189" s="9"/>
      <c r="G189" s="16"/>
      <c r="H189" s="16" t="s">
        <v>770</v>
      </c>
      <c r="I189" s="21">
        <f>H188/G188*100</f>
        <v>46.480125523012546</v>
      </c>
      <c r="J189" s="16"/>
      <c r="K189" s="16"/>
      <c r="L189" s="16" t="s">
        <v>771</v>
      </c>
      <c r="M189" s="31"/>
      <c r="N189" s="35"/>
      <c r="O189" s="40" t="s">
        <v>771</v>
      </c>
      <c r="P189" s="40"/>
      <c r="Q189" s="16"/>
      <c r="R189" s="16" t="s">
        <v>771</v>
      </c>
      <c r="S189" s="45"/>
      <c r="T189" s="40"/>
      <c r="U189" s="10"/>
      <c r="V189" s="9"/>
      <c r="W189" s="9"/>
      <c r="X189" s="9"/>
      <c r="Y189" s="9"/>
    </row>
    <row r="190" spans="1:45" x14ac:dyDescent="0.25">
      <c r="A190" s="11"/>
      <c r="B190" s="11"/>
      <c r="C190" s="27"/>
      <c r="D190" s="17"/>
      <c r="E190" s="11"/>
      <c r="F190" s="11"/>
      <c r="G190" s="17"/>
      <c r="H190" s="17" t="s">
        <v>772</v>
      </c>
      <c r="I190" s="22">
        <f>STDEV(I180:I187)</f>
        <v>12.809480591571001</v>
      </c>
      <c r="J190" s="17"/>
      <c r="K190" s="17"/>
      <c r="L190" s="17" t="s">
        <v>773</v>
      </c>
      <c r="M190" s="47" t="e">
        <f>K188/M188</f>
        <v>#DIV/0!</v>
      </c>
      <c r="N190" s="36"/>
      <c r="O190" s="41" t="s">
        <v>774</v>
      </c>
      <c r="P190" s="41">
        <f>K188/O188</f>
        <v>24511.5748738857</v>
      </c>
      <c r="Q190" s="17"/>
      <c r="R190" s="17" t="s">
        <v>775</v>
      </c>
      <c r="S190" s="46">
        <f>K188/O188/43560</f>
        <v>0.56270833043814739</v>
      </c>
      <c r="T190" s="41"/>
      <c r="U190" s="12"/>
      <c r="V190" s="11"/>
      <c r="W190" s="11"/>
      <c r="X190" s="11"/>
      <c r="Y190" s="11"/>
    </row>
    <row r="191" spans="1:45" x14ac:dyDescent="0.25">
      <c r="A191" t="s">
        <v>817</v>
      </c>
      <c r="C191"/>
      <c r="D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</row>
    <row r="192" spans="1:45" x14ac:dyDescent="0.25">
      <c r="C192"/>
      <c r="D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</row>
    <row r="193" spans="1:45" x14ac:dyDescent="0.25">
      <c r="A193" s="48" t="s">
        <v>810</v>
      </c>
      <c r="C193"/>
      <c r="D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</row>
    <row r="194" spans="1:45" x14ac:dyDescent="0.25">
      <c r="A194" s="1" t="s">
        <v>0</v>
      </c>
      <c r="B194" s="1" t="s">
        <v>1</v>
      </c>
      <c r="C194" s="23" t="s">
        <v>2</v>
      </c>
      <c r="D194" s="13" t="s">
        <v>3</v>
      </c>
      <c r="E194" s="1" t="s">
        <v>4</v>
      </c>
      <c r="F194" s="1" t="s">
        <v>5</v>
      </c>
      <c r="G194" s="13" t="s">
        <v>6</v>
      </c>
      <c r="H194" s="13" t="s">
        <v>7</v>
      </c>
      <c r="I194" s="18" t="s">
        <v>8</v>
      </c>
      <c r="J194" s="13" t="s">
        <v>9</v>
      </c>
      <c r="K194" s="13" t="s">
        <v>10</v>
      </c>
      <c r="L194" s="13" t="s">
        <v>11</v>
      </c>
      <c r="M194" s="28" t="s">
        <v>12</v>
      </c>
      <c r="N194" s="32" t="s">
        <v>13</v>
      </c>
      <c r="O194" s="37" t="s">
        <v>14</v>
      </c>
      <c r="P194" s="37" t="s">
        <v>15</v>
      </c>
      <c r="Q194" s="13" t="s">
        <v>16</v>
      </c>
      <c r="R194" s="13" t="s">
        <v>17</v>
      </c>
      <c r="S194" s="42" t="s">
        <v>18</v>
      </c>
      <c r="T194" s="37" t="s">
        <v>19</v>
      </c>
      <c r="U194" s="3" t="s">
        <v>20</v>
      </c>
      <c r="V194" s="1" t="s">
        <v>21</v>
      </c>
      <c r="W194" s="1" t="s">
        <v>22</v>
      </c>
      <c r="X194" s="1" t="s">
        <v>23</v>
      </c>
      <c r="Y194" s="1" t="s">
        <v>24</v>
      </c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</row>
    <row r="195" spans="1:45" x14ac:dyDescent="0.25">
      <c r="A195" t="s">
        <v>163</v>
      </c>
      <c r="B195" t="s">
        <v>164</v>
      </c>
      <c r="C195" s="24">
        <v>44652</v>
      </c>
      <c r="D195" s="14">
        <v>380000</v>
      </c>
      <c r="E195" t="s">
        <v>27</v>
      </c>
      <c r="F195" t="s">
        <v>28</v>
      </c>
      <c r="G195" s="14">
        <v>380000</v>
      </c>
      <c r="H195" s="14">
        <v>158800</v>
      </c>
      <c r="I195" s="19">
        <f>H195/G195*100</f>
        <v>41.789473684210527</v>
      </c>
      <c r="J195" s="14">
        <v>317669</v>
      </c>
      <c r="K195" s="14">
        <f>G195-243297</f>
        <v>136703</v>
      </c>
      <c r="L195" s="14">
        <v>74372</v>
      </c>
      <c r="M195" s="29">
        <v>0</v>
      </c>
      <c r="N195" s="33">
        <v>0</v>
      </c>
      <c r="O195" s="38">
        <v>4.3719999999999999</v>
      </c>
      <c r="P195" s="38">
        <v>4.3719999999999999</v>
      </c>
      <c r="Q195" s="14" t="e">
        <f>K195/M195</f>
        <v>#DIV/0!</v>
      </c>
      <c r="R195" s="14">
        <f>K195/O195</f>
        <v>31267.840805123513</v>
      </c>
      <c r="S195" s="43">
        <f>K195/O195/43560</f>
        <v>0.71781085411210999</v>
      </c>
      <c r="T195" s="38">
        <v>0</v>
      </c>
      <c r="U195" s="5" t="s">
        <v>29</v>
      </c>
      <c r="V195" t="s">
        <v>165</v>
      </c>
      <c r="X195" t="s">
        <v>31</v>
      </c>
      <c r="Y195" s="6" t="s">
        <v>32</v>
      </c>
    </row>
    <row r="196" spans="1:45" x14ac:dyDescent="0.25">
      <c r="A196" t="s">
        <v>123</v>
      </c>
      <c r="B196" t="s">
        <v>124</v>
      </c>
      <c r="C196" s="24">
        <v>44992</v>
      </c>
      <c r="D196" s="14">
        <v>430000</v>
      </c>
      <c r="E196" t="s">
        <v>27</v>
      </c>
      <c r="F196" t="s">
        <v>28</v>
      </c>
      <c r="G196" s="14">
        <v>430000</v>
      </c>
      <c r="H196" s="14">
        <v>145000</v>
      </c>
      <c r="I196" s="19">
        <f>H196/G196*100</f>
        <v>33.720930232558139</v>
      </c>
      <c r="J196" s="14">
        <v>290005</v>
      </c>
      <c r="K196" s="14">
        <f>G196-215445</f>
        <v>214555</v>
      </c>
      <c r="L196" s="14">
        <v>74560</v>
      </c>
      <c r="M196" s="29">
        <v>0</v>
      </c>
      <c r="N196" s="33">
        <v>0</v>
      </c>
      <c r="O196" s="38">
        <v>4.5599999999999996</v>
      </c>
      <c r="P196" s="38">
        <v>4.5599999999999996</v>
      </c>
      <c r="Q196" s="14" t="e">
        <f>K196/M196</f>
        <v>#DIV/0!</v>
      </c>
      <c r="R196" s="14">
        <f>K196/O196</f>
        <v>47051.535087719305</v>
      </c>
      <c r="S196" s="43">
        <f>K196/O196/43560</f>
        <v>1.0801546163388269</v>
      </c>
      <c r="T196" s="38">
        <v>0</v>
      </c>
      <c r="U196" s="5" t="s">
        <v>29</v>
      </c>
      <c r="V196" t="s">
        <v>125</v>
      </c>
      <c r="X196" t="s">
        <v>31</v>
      </c>
      <c r="Y196" s="6" t="s">
        <v>32</v>
      </c>
    </row>
    <row r="197" spans="1:45" x14ac:dyDescent="0.25">
      <c r="A197" t="s">
        <v>335</v>
      </c>
      <c r="B197" t="s">
        <v>336</v>
      </c>
      <c r="C197" s="24">
        <v>44936</v>
      </c>
      <c r="D197" s="14">
        <v>299900</v>
      </c>
      <c r="E197" t="s">
        <v>27</v>
      </c>
      <c r="F197" t="s">
        <v>28</v>
      </c>
      <c r="G197" s="14">
        <v>299900</v>
      </c>
      <c r="H197" s="14">
        <v>76000</v>
      </c>
      <c r="I197" s="19">
        <f>H197/G197*100</f>
        <v>25.341780593531176</v>
      </c>
      <c r="J197" s="14">
        <v>152086</v>
      </c>
      <c r="K197" s="14">
        <f>G197-114666</f>
        <v>185234</v>
      </c>
      <c r="L197" s="14">
        <v>37420</v>
      </c>
      <c r="M197" s="29">
        <v>0</v>
      </c>
      <c r="N197" s="33">
        <v>0</v>
      </c>
      <c r="O197" s="38">
        <v>4.84</v>
      </c>
      <c r="P197" s="38">
        <v>4.84</v>
      </c>
      <c r="Q197" s="14" t="e">
        <f>K197/M197</f>
        <v>#DIV/0!</v>
      </c>
      <c r="R197" s="14">
        <f>K197/O197</f>
        <v>38271.487603305788</v>
      </c>
      <c r="S197" s="43">
        <f>K197/O197/43560</f>
        <v>0.87859246104926048</v>
      </c>
      <c r="T197" s="38">
        <v>0</v>
      </c>
      <c r="U197" s="5" t="s">
        <v>29</v>
      </c>
      <c r="V197" t="s">
        <v>337</v>
      </c>
      <c r="X197" t="s">
        <v>31</v>
      </c>
      <c r="Y197" s="6" t="s">
        <v>32</v>
      </c>
    </row>
    <row r="198" spans="1:45" x14ac:dyDescent="0.25">
      <c r="A198" t="s">
        <v>308</v>
      </c>
      <c r="B198" t="s">
        <v>309</v>
      </c>
      <c r="C198" s="24">
        <v>45057</v>
      </c>
      <c r="D198" s="14">
        <v>565000</v>
      </c>
      <c r="E198" t="s">
        <v>27</v>
      </c>
      <c r="F198" t="s">
        <v>28</v>
      </c>
      <c r="G198" s="14">
        <v>565000</v>
      </c>
      <c r="H198" s="14">
        <v>213100</v>
      </c>
      <c r="I198" s="19">
        <f>H198/G198*100</f>
        <v>37.716814159292035</v>
      </c>
      <c r="J198" s="14">
        <v>426236</v>
      </c>
      <c r="K198" s="14">
        <f>G198-351236</f>
        <v>213764</v>
      </c>
      <c r="L198" s="14">
        <v>75000</v>
      </c>
      <c r="M198" s="29">
        <v>0</v>
      </c>
      <c r="N198" s="33">
        <v>0</v>
      </c>
      <c r="O198" s="38">
        <v>5</v>
      </c>
      <c r="P198" s="38">
        <v>5</v>
      </c>
      <c r="Q198" s="14" t="e">
        <f>K198/M198</f>
        <v>#DIV/0!</v>
      </c>
      <c r="R198" s="14">
        <f>K198/O198</f>
        <v>42752.800000000003</v>
      </c>
      <c r="S198" s="43">
        <f>K198/O198/43560</f>
        <v>0.98146923783287421</v>
      </c>
      <c r="T198" s="38">
        <v>0</v>
      </c>
      <c r="U198" s="5" t="s">
        <v>29</v>
      </c>
      <c r="V198" t="s">
        <v>310</v>
      </c>
      <c r="X198" t="s">
        <v>31</v>
      </c>
      <c r="Y198" s="6" t="s">
        <v>32</v>
      </c>
    </row>
    <row r="199" spans="1:45" ht="15.75" thickBot="1" x14ac:dyDescent="0.3">
      <c r="A199" t="s">
        <v>323</v>
      </c>
      <c r="B199" t="s">
        <v>324</v>
      </c>
      <c r="C199" s="24">
        <v>44739</v>
      </c>
      <c r="D199" s="14">
        <v>319000</v>
      </c>
      <c r="E199" t="s">
        <v>27</v>
      </c>
      <c r="F199" t="s">
        <v>28</v>
      </c>
      <c r="G199" s="14">
        <v>319000</v>
      </c>
      <c r="H199" s="14">
        <v>126000</v>
      </c>
      <c r="I199" s="19">
        <f>H199/G199*100</f>
        <v>39.498432601880879</v>
      </c>
      <c r="J199" s="14">
        <v>251993</v>
      </c>
      <c r="K199" s="14">
        <f>G199-176993</f>
        <v>142007</v>
      </c>
      <c r="L199" s="14">
        <v>75000</v>
      </c>
      <c r="M199" s="29">
        <v>0</v>
      </c>
      <c r="N199" s="33">
        <v>0</v>
      </c>
      <c r="O199" s="38">
        <v>5</v>
      </c>
      <c r="P199" s="38">
        <v>5</v>
      </c>
      <c r="Q199" s="14" t="e">
        <f>K199/M199</f>
        <v>#DIV/0!</v>
      </c>
      <c r="R199" s="14">
        <f>K199/O199</f>
        <v>28401.4</v>
      </c>
      <c r="S199" s="43">
        <f>K199/O199/43560</f>
        <v>0.65200642791551888</v>
      </c>
      <c r="T199" s="38">
        <v>0</v>
      </c>
      <c r="U199" s="5" t="s">
        <v>29</v>
      </c>
      <c r="V199" t="s">
        <v>325</v>
      </c>
      <c r="X199" t="s">
        <v>31</v>
      </c>
      <c r="Y199" s="6" t="s">
        <v>32</v>
      </c>
    </row>
    <row r="200" spans="1:45" ht="15.75" thickTop="1" x14ac:dyDescent="0.25">
      <c r="A200" s="7"/>
      <c r="B200" s="7"/>
      <c r="C200" s="25" t="s">
        <v>769</v>
      </c>
      <c r="D200" s="15">
        <f>+SUM(D195:D199)</f>
        <v>1993900</v>
      </c>
      <c r="E200" s="7"/>
      <c r="F200" s="7"/>
      <c r="G200" s="15">
        <f>+SUM(G195:G199)</f>
        <v>1993900</v>
      </c>
      <c r="H200" s="15">
        <f>+SUM(H195:H199)</f>
        <v>718900</v>
      </c>
      <c r="I200" s="20"/>
      <c r="J200" s="15">
        <f>+SUM(J195:J199)</f>
        <v>1437989</v>
      </c>
      <c r="K200" s="15">
        <f>+SUM(K195:K199)</f>
        <v>892263</v>
      </c>
      <c r="L200" s="15">
        <f>+SUM(L195:L199)</f>
        <v>336352</v>
      </c>
      <c r="M200" s="30">
        <f>+SUM(M195:M199)</f>
        <v>0</v>
      </c>
      <c r="N200" s="34"/>
      <c r="O200" s="39">
        <f>+SUM(O195:O199)</f>
        <v>23.771999999999998</v>
      </c>
      <c r="P200" s="39">
        <f>+SUM(P195:P199)</f>
        <v>23.771999999999998</v>
      </c>
      <c r="Q200" s="15"/>
      <c r="R200" s="15"/>
      <c r="S200" s="44"/>
      <c r="T200" s="39"/>
      <c r="U200" s="8"/>
      <c r="V200" s="7"/>
      <c r="W200" s="7"/>
      <c r="X200" s="7"/>
      <c r="Y200" s="7"/>
    </row>
    <row r="201" spans="1:45" x14ac:dyDescent="0.25">
      <c r="A201" s="9"/>
      <c r="B201" s="9"/>
      <c r="C201" s="26"/>
      <c r="D201" s="16"/>
      <c r="E201" s="9"/>
      <c r="F201" s="9"/>
      <c r="G201" s="16"/>
      <c r="H201" s="16" t="s">
        <v>770</v>
      </c>
      <c r="I201" s="21">
        <f>H200/G200*100</f>
        <v>36.054967651336575</v>
      </c>
      <c r="J201" s="16"/>
      <c r="K201" s="16"/>
      <c r="L201" s="16" t="s">
        <v>771</v>
      </c>
      <c r="M201" s="31"/>
      <c r="N201" s="35"/>
      <c r="O201" s="40" t="s">
        <v>771</v>
      </c>
      <c r="P201" s="40"/>
      <c r="Q201" s="16"/>
      <c r="R201" s="16" t="s">
        <v>771</v>
      </c>
      <c r="S201" s="45"/>
      <c r="T201" s="40"/>
      <c r="U201" s="10"/>
      <c r="V201" s="9"/>
      <c r="W201" s="9"/>
      <c r="X201" s="9"/>
      <c r="Y201" s="9"/>
    </row>
    <row r="202" spans="1:45" x14ac:dyDescent="0.25">
      <c r="A202" s="11"/>
      <c r="B202" s="11"/>
      <c r="C202" s="27"/>
      <c r="D202" s="17"/>
      <c r="E202" s="11"/>
      <c r="F202" s="11"/>
      <c r="G202" s="17"/>
      <c r="H202" s="17" t="s">
        <v>772</v>
      </c>
      <c r="I202" s="22">
        <f>STDEV(I195:I199)</f>
        <v>6.4565726707521911</v>
      </c>
      <c r="J202" s="17"/>
      <c r="K202" s="17"/>
      <c r="L202" s="17" t="s">
        <v>773</v>
      </c>
      <c r="M202" s="47" t="e">
        <f>K200/M200</f>
        <v>#DIV/0!</v>
      </c>
      <c r="N202" s="36"/>
      <c r="O202" s="41" t="s">
        <v>774</v>
      </c>
      <c r="P202" s="41">
        <f>K200/O200</f>
        <v>37534.19989904089</v>
      </c>
      <c r="Q202" s="17"/>
      <c r="R202" s="17" t="s">
        <v>775</v>
      </c>
      <c r="S202" s="46">
        <f>K200/O200/43560</f>
        <v>0.86166666434896444</v>
      </c>
      <c r="T202" s="41"/>
      <c r="U202" s="12"/>
      <c r="V202" s="11"/>
      <c r="W202" s="11"/>
      <c r="X202" s="11"/>
      <c r="Y202" s="11"/>
    </row>
    <row r="203" spans="1:45" x14ac:dyDescent="0.25">
      <c r="A203" t="s">
        <v>817</v>
      </c>
      <c r="C203"/>
      <c r="D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</row>
    <row r="204" spans="1:45" x14ac:dyDescent="0.25">
      <c r="C204"/>
      <c r="D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</row>
    <row r="205" spans="1:45" x14ac:dyDescent="0.25">
      <c r="A205" s="48" t="s">
        <v>811</v>
      </c>
      <c r="C205"/>
      <c r="D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</row>
    <row r="206" spans="1:45" x14ac:dyDescent="0.25">
      <c r="A206" s="1" t="s">
        <v>0</v>
      </c>
      <c r="B206" s="1" t="s">
        <v>1</v>
      </c>
      <c r="C206" s="23" t="s">
        <v>2</v>
      </c>
      <c r="D206" s="13" t="s">
        <v>3</v>
      </c>
      <c r="E206" s="1" t="s">
        <v>4</v>
      </c>
      <c r="F206" s="1" t="s">
        <v>5</v>
      </c>
      <c r="G206" s="13" t="s">
        <v>6</v>
      </c>
      <c r="H206" s="13" t="s">
        <v>7</v>
      </c>
      <c r="I206" s="18" t="s">
        <v>8</v>
      </c>
      <c r="J206" s="13" t="s">
        <v>9</v>
      </c>
      <c r="K206" s="13" t="s">
        <v>10</v>
      </c>
      <c r="L206" s="13" t="s">
        <v>11</v>
      </c>
      <c r="M206" s="28" t="s">
        <v>12</v>
      </c>
      <c r="N206" s="32" t="s">
        <v>13</v>
      </c>
      <c r="O206" s="37" t="s">
        <v>14</v>
      </c>
      <c r="P206" s="37" t="s">
        <v>15</v>
      </c>
      <c r="Q206" s="13" t="s">
        <v>16</v>
      </c>
      <c r="R206" s="13" t="s">
        <v>17</v>
      </c>
      <c r="S206" s="42" t="s">
        <v>18</v>
      </c>
      <c r="T206" s="37" t="s">
        <v>19</v>
      </c>
      <c r="U206" s="3" t="s">
        <v>20</v>
      </c>
      <c r="V206" s="1" t="s">
        <v>21</v>
      </c>
      <c r="W206" s="1" t="s">
        <v>22</v>
      </c>
      <c r="X206" s="1" t="s">
        <v>23</v>
      </c>
      <c r="Y206" s="1" t="s">
        <v>24</v>
      </c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</row>
    <row r="207" spans="1:45" x14ac:dyDescent="0.25">
      <c r="A207" t="s">
        <v>180</v>
      </c>
      <c r="B207" t="s">
        <v>181</v>
      </c>
      <c r="C207" s="24">
        <v>45077</v>
      </c>
      <c r="D207" s="14">
        <v>227000</v>
      </c>
      <c r="E207" t="s">
        <v>27</v>
      </c>
      <c r="F207" t="s">
        <v>28</v>
      </c>
      <c r="G207" s="14">
        <v>227000</v>
      </c>
      <c r="H207" s="14">
        <v>88600</v>
      </c>
      <c r="I207" s="19">
        <f>H207/G207*100</f>
        <v>39.030837004405292</v>
      </c>
      <c r="J207" s="14">
        <v>177204</v>
      </c>
      <c r="K207" s="14">
        <f>G207-97704</f>
        <v>129296</v>
      </c>
      <c r="L207" s="14">
        <v>79500</v>
      </c>
      <c r="M207" s="29">
        <v>0</v>
      </c>
      <c r="N207" s="33">
        <v>0</v>
      </c>
      <c r="O207" s="38">
        <v>6</v>
      </c>
      <c r="P207" s="38">
        <v>6</v>
      </c>
      <c r="Q207" s="14" t="e">
        <f>K207/M207</f>
        <v>#DIV/0!</v>
      </c>
      <c r="R207" s="14">
        <f>K207/O207</f>
        <v>21549.333333333332</v>
      </c>
      <c r="S207" s="43">
        <f>K207/O207/43560</f>
        <v>0.49470462197734921</v>
      </c>
      <c r="T207" s="38">
        <v>0</v>
      </c>
      <c r="U207" s="5" t="s">
        <v>29</v>
      </c>
      <c r="V207" t="s">
        <v>182</v>
      </c>
      <c r="X207" t="s">
        <v>31</v>
      </c>
      <c r="Y207" s="6" t="s">
        <v>32</v>
      </c>
    </row>
    <row r="208" spans="1:45" ht="15.75" thickBot="1" x14ac:dyDescent="0.3">
      <c r="A208" t="s">
        <v>210</v>
      </c>
      <c r="B208" t="s">
        <v>211</v>
      </c>
      <c r="C208" s="24">
        <v>44505</v>
      </c>
      <c r="D208" s="14">
        <v>460000</v>
      </c>
      <c r="E208" t="s">
        <v>27</v>
      </c>
      <c r="F208" t="s">
        <v>28</v>
      </c>
      <c r="G208" s="14">
        <v>460000</v>
      </c>
      <c r="H208" s="14">
        <v>256100</v>
      </c>
      <c r="I208" s="19">
        <f>H208/G208*100</f>
        <v>55.673913043478265</v>
      </c>
      <c r="J208" s="14">
        <v>512299</v>
      </c>
      <c r="K208" s="14">
        <f>G208-431359</f>
        <v>28641</v>
      </c>
      <c r="L208" s="14">
        <v>80940</v>
      </c>
      <c r="M208" s="29">
        <v>0</v>
      </c>
      <c r="N208" s="33">
        <v>0</v>
      </c>
      <c r="O208" s="38">
        <v>6.32</v>
      </c>
      <c r="P208" s="38">
        <v>6.32</v>
      </c>
      <c r="Q208" s="14" t="e">
        <f>K208/M208</f>
        <v>#DIV/0!</v>
      </c>
      <c r="R208" s="14">
        <f>K208/O208</f>
        <v>4531.8037974683539</v>
      </c>
      <c r="S208" s="43">
        <f>K208/O208/43560</f>
        <v>0.10403589985005404</v>
      </c>
      <c r="T208" s="38">
        <v>0</v>
      </c>
      <c r="U208" s="5" t="s">
        <v>29</v>
      </c>
      <c r="V208" t="s">
        <v>212</v>
      </c>
      <c r="X208" t="s">
        <v>31</v>
      </c>
      <c r="Y208" s="6" t="s">
        <v>32</v>
      </c>
    </row>
    <row r="209" spans="1:45" ht="15.75" thickTop="1" x14ac:dyDescent="0.25">
      <c r="A209" s="7"/>
      <c r="B209" s="7"/>
      <c r="C209" s="25" t="s">
        <v>769</v>
      </c>
      <c r="D209" s="15">
        <f>+SUM(D207:D208)</f>
        <v>687000</v>
      </c>
      <c r="E209" s="7"/>
      <c r="F209" s="7"/>
      <c r="G209" s="15">
        <f>+SUM(G207:G208)</f>
        <v>687000</v>
      </c>
      <c r="H209" s="15">
        <f>+SUM(H207:H208)</f>
        <v>344700</v>
      </c>
      <c r="I209" s="20"/>
      <c r="J209" s="15">
        <f>+SUM(J207:J208)</f>
        <v>689503</v>
      </c>
      <c r="K209" s="15">
        <f>+SUM(K207:K208)</f>
        <v>157937</v>
      </c>
      <c r="L209" s="15">
        <f>+SUM(L207:L208)</f>
        <v>160440</v>
      </c>
      <c r="M209" s="30">
        <f>+SUM(M207:M208)</f>
        <v>0</v>
      </c>
      <c r="N209" s="34"/>
      <c r="O209" s="39">
        <f>+SUM(O207:O208)</f>
        <v>12.32</v>
      </c>
      <c r="P209" s="39">
        <f>+SUM(P207:P208)</f>
        <v>12.32</v>
      </c>
      <c r="Q209" s="15"/>
      <c r="R209" s="15"/>
      <c r="S209" s="44"/>
      <c r="T209" s="39"/>
      <c r="U209" s="8"/>
      <c r="V209" s="7"/>
      <c r="W209" s="7"/>
      <c r="X209" s="7"/>
      <c r="Y209" s="7"/>
    </row>
    <row r="210" spans="1:45" x14ac:dyDescent="0.25">
      <c r="A210" s="9"/>
      <c r="B210" s="9"/>
      <c r="C210" s="26"/>
      <c r="D210" s="16"/>
      <c r="E210" s="9"/>
      <c r="F210" s="9"/>
      <c r="G210" s="16"/>
      <c r="H210" s="16" t="s">
        <v>770</v>
      </c>
      <c r="I210" s="21">
        <f>H209/G209*100</f>
        <v>50.174672489082973</v>
      </c>
      <c r="J210" s="16"/>
      <c r="K210" s="16"/>
      <c r="L210" s="16" t="s">
        <v>771</v>
      </c>
      <c r="M210" s="31"/>
      <c r="N210" s="35"/>
      <c r="O210" s="40" t="s">
        <v>771</v>
      </c>
      <c r="P210" s="40"/>
      <c r="Q210" s="16"/>
      <c r="R210" s="16" t="s">
        <v>771</v>
      </c>
      <c r="S210" s="45"/>
      <c r="T210" s="40"/>
      <c r="U210" s="10"/>
      <c r="V210" s="9"/>
      <c r="W210" s="9"/>
      <c r="X210" s="9"/>
      <c r="Y210" s="9"/>
    </row>
    <row r="211" spans="1:45" x14ac:dyDescent="0.25">
      <c r="A211" s="11"/>
      <c r="B211" s="11"/>
      <c r="C211" s="27"/>
      <c r="D211" s="17"/>
      <c r="E211" s="11"/>
      <c r="F211" s="11"/>
      <c r="G211" s="17"/>
      <c r="H211" s="17" t="s">
        <v>772</v>
      </c>
      <c r="I211" s="22">
        <f>STDEV(I207:I208)</f>
        <v>11.768431927031846</v>
      </c>
      <c r="J211" s="17"/>
      <c r="K211" s="17"/>
      <c r="L211" s="17" t="s">
        <v>773</v>
      </c>
      <c r="M211" s="47" t="e">
        <f>K209/M209</f>
        <v>#DIV/0!</v>
      </c>
      <c r="N211" s="36"/>
      <c r="O211" s="41" t="s">
        <v>774</v>
      </c>
      <c r="P211" s="41">
        <f>K209/O209</f>
        <v>12819.561688311687</v>
      </c>
      <c r="Q211" s="17"/>
      <c r="R211" s="17" t="s">
        <v>775</v>
      </c>
      <c r="S211" s="46">
        <f>K209/O209/43560</f>
        <v>0.29429664114581466</v>
      </c>
      <c r="T211" s="41"/>
      <c r="U211" s="12"/>
      <c r="V211" s="11"/>
      <c r="W211" s="11"/>
      <c r="X211" s="11"/>
      <c r="Y211" s="11"/>
    </row>
    <row r="212" spans="1:45" x14ac:dyDescent="0.25">
      <c r="A212" t="s">
        <v>817</v>
      </c>
      <c r="C212"/>
      <c r="D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</row>
    <row r="213" spans="1:45" x14ac:dyDescent="0.25">
      <c r="C213"/>
      <c r="D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</row>
    <row r="214" spans="1:45" x14ac:dyDescent="0.25">
      <c r="A214" s="48" t="s">
        <v>812</v>
      </c>
      <c r="C214"/>
      <c r="D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</row>
    <row r="215" spans="1:45" x14ac:dyDescent="0.25">
      <c r="A215" s="1" t="s">
        <v>0</v>
      </c>
      <c r="B215" s="1" t="s">
        <v>1</v>
      </c>
      <c r="C215" s="23" t="s">
        <v>2</v>
      </c>
      <c r="D215" s="13" t="s">
        <v>3</v>
      </c>
      <c r="E215" s="1" t="s">
        <v>4</v>
      </c>
      <c r="F215" s="1" t="s">
        <v>5</v>
      </c>
      <c r="G215" s="13" t="s">
        <v>6</v>
      </c>
      <c r="H215" s="13" t="s">
        <v>7</v>
      </c>
      <c r="I215" s="18" t="s">
        <v>8</v>
      </c>
      <c r="J215" s="13" t="s">
        <v>9</v>
      </c>
      <c r="K215" s="13" t="s">
        <v>10</v>
      </c>
      <c r="L215" s="13" t="s">
        <v>11</v>
      </c>
      <c r="M215" s="28" t="s">
        <v>12</v>
      </c>
      <c r="N215" s="32" t="s">
        <v>13</v>
      </c>
      <c r="O215" s="37" t="s">
        <v>14</v>
      </c>
      <c r="P215" s="37" t="s">
        <v>15</v>
      </c>
      <c r="Q215" s="13" t="s">
        <v>16</v>
      </c>
      <c r="R215" s="13" t="s">
        <v>17</v>
      </c>
      <c r="S215" s="42" t="s">
        <v>18</v>
      </c>
      <c r="T215" s="37" t="s">
        <v>19</v>
      </c>
      <c r="U215" s="3" t="s">
        <v>20</v>
      </c>
      <c r="V215" s="1" t="s">
        <v>21</v>
      </c>
      <c r="W215" s="1" t="s">
        <v>22</v>
      </c>
      <c r="X215" s="1" t="s">
        <v>23</v>
      </c>
      <c r="Y215" s="1" t="s">
        <v>24</v>
      </c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</row>
    <row r="216" spans="1:45" x14ac:dyDescent="0.25">
      <c r="A216" t="s">
        <v>332</v>
      </c>
      <c r="B216" t="s">
        <v>333</v>
      </c>
      <c r="C216" s="24">
        <v>44468</v>
      </c>
      <c r="D216" s="14">
        <v>200000</v>
      </c>
      <c r="E216" t="s">
        <v>27</v>
      </c>
      <c r="F216" t="s">
        <v>28</v>
      </c>
      <c r="G216" s="14">
        <v>200000</v>
      </c>
      <c r="H216" s="14">
        <v>111000</v>
      </c>
      <c r="I216" s="19">
        <f t="shared" ref="I216:I222" si="29">H216/G216*100</f>
        <v>55.500000000000007</v>
      </c>
      <c r="J216" s="14">
        <v>222012</v>
      </c>
      <c r="K216" s="14">
        <f>G216-133905</f>
        <v>66095</v>
      </c>
      <c r="L216" s="14">
        <v>88107</v>
      </c>
      <c r="M216" s="29">
        <v>0</v>
      </c>
      <c r="N216" s="33">
        <v>0</v>
      </c>
      <c r="O216" s="38">
        <v>7.88</v>
      </c>
      <c r="P216" s="38">
        <v>7.88</v>
      </c>
      <c r="Q216" s="14" t="e">
        <f t="shared" ref="Q216:Q222" si="30">K216/M216</f>
        <v>#DIV/0!</v>
      </c>
      <c r="R216" s="14">
        <f t="shared" ref="R216:R222" si="31">K216/O216</f>
        <v>8387.6903553299489</v>
      </c>
      <c r="S216" s="43">
        <f t="shared" ref="S216:S222" si="32">K216/O216/43560</f>
        <v>0.19255487500757459</v>
      </c>
      <c r="T216" s="38">
        <v>0</v>
      </c>
      <c r="U216" s="5" t="s">
        <v>29</v>
      </c>
      <c r="V216" t="s">
        <v>334</v>
      </c>
      <c r="X216" t="s">
        <v>31</v>
      </c>
      <c r="Y216" s="6" t="s">
        <v>32</v>
      </c>
    </row>
    <row r="217" spans="1:45" x14ac:dyDescent="0.25">
      <c r="A217" t="s">
        <v>245</v>
      </c>
      <c r="B217" t="s">
        <v>246</v>
      </c>
      <c r="C217" s="24">
        <v>44369</v>
      </c>
      <c r="D217" s="14">
        <v>265000</v>
      </c>
      <c r="E217" t="s">
        <v>27</v>
      </c>
      <c r="F217" t="s">
        <v>28</v>
      </c>
      <c r="G217" s="14">
        <v>265000</v>
      </c>
      <c r="H217" s="14">
        <v>141100</v>
      </c>
      <c r="I217" s="19">
        <f t="shared" si="29"/>
        <v>53.24528301886793</v>
      </c>
      <c r="J217" s="14">
        <v>282219</v>
      </c>
      <c r="K217" s="14">
        <f>G217-189119</f>
        <v>75881</v>
      </c>
      <c r="L217" s="14">
        <v>93100</v>
      </c>
      <c r="M217" s="29">
        <v>0</v>
      </c>
      <c r="N217" s="33">
        <v>0</v>
      </c>
      <c r="O217" s="38">
        <v>8.9499999999999993</v>
      </c>
      <c r="P217" s="38">
        <v>8.9499999999999993</v>
      </c>
      <c r="Q217" s="14" t="e">
        <f t="shared" si="30"/>
        <v>#DIV/0!</v>
      </c>
      <c r="R217" s="14">
        <f t="shared" si="31"/>
        <v>8478.324022346369</v>
      </c>
      <c r="S217" s="43">
        <f t="shared" si="32"/>
        <v>0.1946355377030847</v>
      </c>
      <c r="T217" s="38">
        <v>0</v>
      </c>
      <c r="U217" s="5" t="s">
        <v>29</v>
      </c>
      <c r="V217" t="s">
        <v>247</v>
      </c>
      <c r="X217" t="s">
        <v>31</v>
      </c>
      <c r="Y217" s="6" t="s">
        <v>32</v>
      </c>
    </row>
    <row r="218" spans="1:45" x14ac:dyDescent="0.25">
      <c r="A218" t="s">
        <v>314</v>
      </c>
      <c r="B218" t="s">
        <v>315</v>
      </c>
      <c r="C218" s="24">
        <v>44358</v>
      </c>
      <c r="D218" s="14">
        <v>412000</v>
      </c>
      <c r="E218" t="s">
        <v>27</v>
      </c>
      <c r="F218" t="s">
        <v>28</v>
      </c>
      <c r="G218" s="14">
        <v>412000</v>
      </c>
      <c r="H218" s="14">
        <v>211600</v>
      </c>
      <c r="I218" s="19">
        <f t="shared" si="29"/>
        <v>51.359223300970868</v>
      </c>
      <c r="J218" s="14">
        <v>423202</v>
      </c>
      <c r="K218" s="14">
        <f>G218-335609</f>
        <v>76391</v>
      </c>
      <c r="L218" s="14">
        <v>87593</v>
      </c>
      <c r="M218" s="29">
        <v>0</v>
      </c>
      <c r="N218" s="33">
        <v>0</v>
      </c>
      <c r="O218" s="38">
        <v>7.77</v>
      </c>
      <c r="P218" s="38">
        <v>7.77</v>
      </c>
      <c r="Q218" s="14" t="e">
        <f t="shared" si="30"/>
        <v>#DIV/0!</v>
      </c>
      <c r="R218" s="14">
        <f t="shared" si="31"/>
        <v>9831.5315315315329</v>
      </c>
      <c r="S218" s="43">
        <f t="shared" si="32"/>
        <v>0.22570090751908936</v>
      </c>
      <c r="T218" s="38">
        <v>0</v>
      </c>
      <c r="U218" s="5" t="s">
        <v>29</v>
      </c>
      <c r="V218" t="s">
        <v>316</v>
      </c>
      <c r="X218" t="s">
        <v>31</v>
      </c>
      <c r="Y218" s="6" t="s">
        <v>32</v>
      </c>
    </row>
    <row r="219" spans="1:45" x14ac:dyDescent="0.25">
      <c r="A219" t="s">
        <v>57</v>
      </c>
      <c r="B219" t="s">
        <v>58</v>
      </c>
      <c r="C219" s="24">
        <v>45044</v>
      </c>
      <c r="D219" s="14">
        <v>290000</v>
      </c>
      <c r="E219" t="s">
        <v>27</v>
      </c>
      <c r="F219" t="s">
        <v>28</v>
      </c>
      <c r="G219" s="14">
        <v>290000</v>
      </c>
      <c r="H219" s="14">
        <v>146300</v>
      </c>
      <c r="I219" s="19">
        <f t="shared" si="29"/>
        <v>50.448275862068968</v>
      </c>
      <c r="J219" s="14">
        <v>292606</v>
      </c>
      <c r="K219" s="14">
        <f>G219-200999</f>
        <v>89001</v>
      </c>
      <c r="L219" s="14">
        <v>91607</v>
      </c>
      <c r="M219" s="29">
        <v>0</v>
      </c>
      <c r="N219" s="33">
        <v>0</v>
      </c>
      <c r="O219" s="38">
        <v>8.6300000000000008</v>
      </c>
      <c r="P219" s="38">
        <v>8.6300000000000008</v>
      </c>
      <c r="Q219" s="14" t="e">
        <f t="shared" si="30"/>
        <v>#DIV/0!</v>
      </c>
      <c r="R219" s="14">
        <f t="shared" si="31"/>
        <v>10312.977983777519</v>
      </c>
      <c r="S219" s="43">
        <f t="shared" si="32"/>
        <v>0.23675339724007161</v>
      </c>
      <c r="T219" s="38">
        <v>0</v>
      </c>
      <c r="U219" s="5" t="s">
        <v>29</v>
      </c>
      <c r="V219" t="s">
        <v>59</v>
      </c>
      <c r="X219" t="s">
        <v>31</v>
      </c>
      <c r="Y219" s="6" t="s">
        <v>32</v>
      </c>
    </row>
    <row r="220" spans="1:45" x14ac:dyDescent="0.25">
      <c r="A220" t="s">
        <v>317</v>
      </c>
      <c r="B220" t="s">
        <v>318</v>
      </c>
      <c r="C220" s="24">
        <v>44782</v>
      </c>
      <c r="D220" s="14">
        <v>225000</v>
      </c>
      <c r="E220" t="s">
        <v>27</v>
      </c>
      <c r="F220" t="s">
        <v>28</v>
      </c>
      <c r="G220" s="14">
        <v>225000</v>
      </c>
      <c r="H220" s="14">
        <v>106700</v>
      </c>
      <c r="I220" s="19">
        <f t="shared" si="29"/>
        <v>47.422222222222224</v>
      </c>
      <c r="J220" s="14">
        <v>213365</v>
      </c>
      <c r="K220" s="14">
        <f>G220-115365</f>
        <v>109635</v>
      </c>
      <c r="L220" s="14">
        <v>98000</v>
      </c>
      <c r="M220" s="29">
        <v>0</v>
      </c>
      <c r="N220" s="33">
        <v>0</v>
      </c>
      <c r="O220" s="38">
        <v>10</v>
      </c>
      <c r="P220" s="38">
        <v>10</v>
      </c>
      <c r="Q220" s="14" t="e">
        <f t="shared" si="30"/>
        <v>#DIV/0!</v>
      </c>
      <c r="R220" s="14">
        <f t="shared" si="31"/>
        <v>10963.5</v>
      </c>
      <c r="S220" s="43">
        <f t="shared" si="32"/>
        <v>0.25168732782369146</v>
      </c>
      <c r="T220" s="38">
        <v>0</v>
      </c>
      <c r="U220" s="5" t="s">
        <v>29</v>
      </c>
      <c r="V220" t="s">
        <v>319</v>
      </c>
      <c r="X220" t="s">
        <v>31</v>
      </c>
      <c r="Y220" s="6" t="s">
        <v>32</v>
      </c>
    </row>
    <row r="221" spans="1:45" x14ac:dyDescent="0.25">
      <c r="A221" t="s">
        <v>174</v>
      </c>
      <c r="B221" t="s">
        <v>175</v>
      </c>
      <c r="C221" s="24">
        <v>44904</v>
      </c>
      <c r="D221" s="14">
        <v>339300</v>
      </c>
      <c r="E221" t="s">
        <v>27</v>
      </c>
      <c r="F221" t="s">
        <v>28</v>
      </c>
      <c r="G221" s="14">
        <v>339300</v>
      </c>
      <c r="H221" s="14">
        <v>152500</v>
      </c>
      <c r="I221" s="19">
        <f t="shared" si="29"/>
        <v>44.945475979958736</v>
      </c>
      <c r="J221" s="14">
        <v>305016</v>
      </c>
      <c r="K221" s="14">
        <f>G221-214669</f>
        <v>124631</v>
      </c>
      <c r="L221" s="14">
        <v>90347</v>
      </c>
      <c r="M221" s="29">
        <v>0</v>
      </c>
      <c r="N221" s="33">
        <v>0</v>
      </c>
      <c r="O221" s="38">
        <v>8.36</v>
      </c>
      <c r="P221" s="38">
        <v>8.36</v>
      </c>
      <c r="Q221" s="14" t="e">
        <f t="shared" si="30"/>
        <v>#DIV/0!</v>
      </c>
      <c r="R221" s="14">
        <f t="shared" si="31"/>
        <v>14908.014354066987</v>
      </c>
      <c r="S221" s="43">
        <f t="shared" si="32"/>
        <v>0.34224091721916866</v>
      </c>
      <c r="T221" s="38">
        <v>0</v>
      </c>
      <c r="U221" s="5" t="s">
        <v>29</v>
      </c>
      <c r="V221" t="s">
        <v>176</v>
      </c>
      <c r="X221" t="s">
        <v>31</v>
      </c>
      <c r="Y221" s="6" t="s">
        <v>32</v>
      </c>
    </row>
    <row r="222" spans="1:45" ht="15.75" thickBot="1" x14ac:dyDescent="0.3">
      <c r="A222" t="s">
        <v>305</v>
      </c>
      <c r="B222" t="s">
        <v>306</v>
      </c>
      <c r="C222" s="24">
        <v>44434</v>
      </c>
      <c r="D222" s="14">
        <v>329000</v>
      </c>
      <c r="E222" t="s">
        <v>27</v>
      </c>
      <c r="F222" t="s">
        <v>28</v>
      </c>
      <c r="G222" s="14">
        <v>329000</v>
      </c>
      <c r="H222" s="14">
        <v>144100</v>
      </c>
      <c r="I222" s="19">
        <f t="shared" si="29"/>
        <v>43.799392097264437</v>
      </c>
      <c r="J222" s="14">
        <v>288290</v>
      </c>
      <c r="K222" s="14">
        <f>G222-195237</f>
        <v>133763</v>
      </c>
      <c r="L222" s="14">
        <v>93053</v>
      </c>
      <c r="M222" s="29">
        <v>0</v>
      </c>
      <c r="N222" s="33">
        <v>0</v>
      </c>
      <c r="O222" s="38">
        <v>8.94</v>
      </c>
      <c r="P222" s="38">
        <v>8.94</v>
      </c>
      <c r="Q222" s="14" t="e">
        <f t="shared" si="30"/>
        <v>#DIV/0!</v>
      </c>
      <c r="R222" s="14">
        <f t="shared" si="31"/>
        <v>14962.304250559286</v>
      </c>
      <c r="S222" s="43">
        <f t="shared" si="32"/>
        <v>0.34348724174837664</v>
      </c>
      <c r="T222" s="38">
        <v>0</v>
      </c>
      <c r="U222" s="5" t="s">
        <v>29</v>
      </c>
      <c r="V222" t="s">
        <v>307</v>
      </c>
      <c r="X222" t="s">
        <v>31</v>
      </c>
      <c r="Y222" s="6" t="s">
        <v>32</v>
      </c>
    </row>
    <row r="223" spans="1:45" ht="15.75" thickTop="1" x14ac:dyDescent="0.25">
      <c r="A223" s="7"/>
      <c r="B223" s="7"/>
      <c r="C223" s="25" t="s">
        <v>769</v>
      </c>
      <c r="D223" s="15">
        <f>+SUM(D216:D222)</f>
        <v>2060300</v>
      </c>
      <c r="E223" s="7"/>
      <c r="F223" s="7"/>
      <c r="G223" s="15">
        <f>+SUM(G216:G222)</f>
        <v>2060300</v>
      </c>
      <c r="H223" s="15">
        <f>+SUM(H216:H222)</f>
        <v>1013300</v>
      </c>
      <c r="I223" s="20"/>
      <c r="J223" s="15">
        <f>+SUM(J216:J222)</f>
        <v>2026710</v>
      </c>
      <c r="K223" s="15">
        <f>+SUM(K216:K222)</f>
        <v>675397</v>
      </c>
      <c r="L223" s="15">
        <f>+SUM(L216:L222)</f>
        <v>641807</v>
      </c>
      <c r="M223" s="30">
        <f>+SUM(M216:M222)</f>
        <v>0</v>
      </c>
      <c r="N223" s="34"/>
      <c r="O223" s="39">
        <f>+SUM(O216:O222)</f>
        <v>60.529999999999994</v>
      </c>
      <c r="P223" s="39">
        <f>+SUM(P216:P222)</f>
        <v>60.529999999999994</v>
      </c>
      <c r="Q223" s="15"/>
      <c r="R223" s="15"/>
      <c r="S223" s="44"/>
      <c r="T223" s="39"/>
      <c r="U223" s="8"/>
      <c r="V223" s="7"/>
      <c r="W223" s="7"/>
      <c r="X223" s="7"/>
      <c r="Y223" s="7"/>
    </row>
    <row r="224" spans="1:45" x14ac:dyDescent="0.25">
      <c r="A224" s="9"/>
      <c r="B224" s="9"/>
      <c r="C224" s="26"/>
      <c r="D224" s="16"/>
      <c r="E224" s="9"/>
      <c r="F224" s="9"/>
      <c r="G224" s="16"/>
      <c r="H224" s="16" t="s">
        <v>770</v>
      </c>
      <c r="I224" s="21">
        <f>H223/G223*100</f>
        <v>49.182157938164345</v>
      </c>
      <c r="J224" s="16"/>
      <c r="K224" s="16"/>
      <c r="L224" s="16" t="s">
        <v>771</v>
      </c>
      <c r="M224" s="31"/>
      <c r="N224" s="35"/>
      <c r="O224" s="40" t="s">
        <v>771</v>
      </c>
      <c r="P224" s="40"/>
      <c r="Q224" s="16"/>
      <c r="R224" s="16" t="s">
        <v>771</v>
      </c>
      <c r="S224" s="45"/>
      <c r="T224" s="40"/>
      <c r="U224" s="10"/>
      <c r="V224" s="9"/>
      <c r="W224" s="9"/>
      <c r="X224" s="9"/>
      <c r="Y224" s="9"/>
    </row>
    <row r="225" spans="1:45" x14ac:dyDescent="0.25">
      <c r="A225" s="11"/>
      <c r="B225" s="11"/>
      <c r="C225" s="27"/>
      <c r="D225" s="17"/>
      <c r="E225" s="11"/>
      <c r="F225" s="11"/>
      <c r="G225" s="17"/>
      <c r="H225" s="17" t="s">
        <v>772</v>
      </c>
      <c r="I225" s="22">
        <f>STDEV(I216:I222)</f>
        <v>4.3192197793889404</v>
      </c>
      <c r="J225" s="17"/>
      <c r="K225" s="17"/>
      <c r="L225" s="17" t="s">
        <v>773</v>
      </c>
      <c r="M225" s="47" t="e">
        <f>K223/M223</f>
        <v>#DIV/0!</v>
      </c>
      <c r="N225" s="36"/>
      <c r="O225" s="41" t="s">
        <v>774</v>
      </c>
      <c r="P225" s="41">
        <f>K223/O223</f>
        <v>11158.053857591278</v>
      </c>
      <c r="Q225" s="17"/>
      <c r="R225" s="17" t="s">
        <v>775</v>
      </c>
      <c r="S225" s="46">
        <f>K223/O223/43560</f>
        <v>0.25615366982532778</v>
      </c>
      <c r="T225" s="41"/>
      <c r="U225" s="12"/>
      <c r="V225" s="11"/>
      <c r="W225" s="11"/>
      <c r="X225" s="11"/>
      <c r="Y225" s="11"/>
    </row>
    <row r="226" spans="1:45" x14ac:dyDescent="0.25">
      <c r="A226" t="s">
        <v>817</v>
      </c>
      <c r="C226"/>
      <c r="D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</row>
    <row r="227" spans="1:45" x14ac:dyDescent="0.25">
      <c r="C227"/>
      <c r="D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</row>
    <row r="228" spans="1:45" x14ac:dyDescent="0.25">
      <c r="A228" s="48" t="s">
        <v>813</v>
      </c>
      <c r="C228"/>
      <c r="D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</row>
    <row r="229" spans="1:45" x14ac:dyDescent="0.25">
      <c r="A229" s="1" t="s">
        <v>0</v>
      </c>
      <c r="B229" s="1" t="s">
        <v>1</v>
      </c>
      <c r="C229" s="23" t="s">
        <v>2</v>
      </c>
      <c r="D229" s="13" t="s">
        <v>3</v>
      </c>
      <c r="E229" s="1" t="s">
        <v>4</v>
      </c>
      <c r="F229" s="1" t="s">
        <v>5</v>
      </c>
      <c r="G229" s="13" t="s">
        <v>6</v>
      </c>
      <c r="H229" s="13" t="s">
        <v>7</v>
      </c>
      <c r="I229" s="18" t="s">
        <v>8</v>
      </c>
      <c r="J229" s="13" t="s">
        <v>9</v>
      </c>
      <c r="K229" s="13" t="s">
        <v>10</v>
      </c>
      <c r="L229" s="13" t="s">
        <v>11</v>
      </c>
      <c r="M229" s="28" t="s">
        <v>12</v>
      </c>
      <c r="N229" s="32" t="s">
        <v>13</v>
      </c>
      <c r="O229" s="37" t="s">
        <v>14</v>
      </c>
      <c r="P229" s="37" t="s">
        <v>15</v>
      </c>
      <c r="Q229" s="13" t="s">
        <v>16</v>
      </c>
      <c r="R229" s="13" t="s">
        <v>17</v>
      </c>
      <c r="S229" s="42" t="s">
        <v>18</v>
      </c>
      <c r="T229" s="37" t="s">
        <v>19</v>
      </c>
      <c r="U229" s="3" t="s">
        <v>20</v>
      </c>
      <c r="V229" s="1" t="s">
        <v>21</v>
      </c>
      <c r="W229" s="1" t="s">
        <v>22</v>
      </c>
      <c r="X229" s="1" t="s">
        <v>23</v>
      </c>
      <c r="Y229" s="1" t="s">
        <v>24</v>
      </c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</row>
    <row r="230" spans="1:45" x14ac:dyDescent="0.25">
      <c r="A230" t="s">
        <v>278</v>
      </c>
      <c r="B230" t="s">
        <v>279</v>
      </c>
      <c r="C230" s="24">
        <v>44518</v>
      </c>
      <c r="D230" s="14">
        <v>495000</v>
      </c>
      <c r="E230" t="s">
        <v>27</v>
      </c>
      <c r="F230" t="s">
        <v>28</v>
      </c>
      <c r="G230" s="14">
        <v>495000</v>
      </c>
      <c r="H230" s="14">
        <v>279200</v>
      </c>
      <c r="I230" s="19">
        <f t="shared" ref="I230:I236" si="33">H230/G230*100</f>
        <v>56.404040404040401</v>
      </c>
      <c r="J230" s="14">
        <v>558441</v>
      </c>
      <c r="K230" s="14">
        <f>G230-451685</f>
        <v>43315</v>
      </c>
      <c r="L230" s="14">
        <v>106756</v>
      </c>
      <c r="M230" s="29">
        <v>0</v>
      </c>
      <c r="N230" s="33">
        <v>0</v>
      </c>
      <c r="O230" s="38">
        <v>11.99</v>
      </c>
      <c r="P230" s="38">
        <v>11.99</v>
      </c>
      <c r="Q230" s="14" t="e">
        <f t="shared" ref="Q230:Q236" si="34">K230/M230</f>
        <v>#DIV/0!</v>
      </c>
      <c r="R230" s="14">
        <f t="shared" ref="R230:R236" si="35">K230/O230</f>
        <v>3612.5938281901585</v>
      </c>
      <c r="S230" s="43">
        <f t="shared" ref="S230:S236" si="36">K230/O230/43560</f>
        <v>8.2933742612262593E-2</v>
      </c>
      <c r="T230" s="38">
        <v>0</v>
      </c>
      <c r="U230" s="5" t="s">
        <v>29</v>
      </c>
      <c r="V230" t="s">
        <v>280</v>
      </c>
      <c r="X230" t="s">
        <v>31</v>
      </c>
      <c r="Y230" s="6" t="s">
        <v>32</v>
      </c>
    </row>
    <row r="231" spans="1:45" x14ac:dyDescent="0.25">
      <c r="A231" t="s">
        <v>296</v>
      </c>
      <c r="B231" t="s">
        <v>297</v>
      </c>
      <c r="C231" s="24">
        <v>44362</v>
      </c>
      <c r="D231" s="14">
        <v>528000</v>
      </c>
      <c r="E231" t="s">
        <v>27</v>
      </c>
      <c r="F231" t="s">
        <v>28</v>
      </c>
      <c r="G231" s="14">
        <v>528000</v>
      </c>
      <c r="H231" s="14">
        <v>270200</v>
      </c>
      <c r="I231" s="19">
        <f t="shared" si="33"/>
        <v>51.174242424242422</v>
      </c>
      <c r="J231" s="14">
        <v>540378</v>
      </c>
      <c r="K231" s="14">
        <f>G231-442114</f>
        <v>85886</v>
      </c>
      <c r="L231" s="14">
        <v>98264</v>
      </c>
      <c r="M231" s="29">
        <v>0</v>
      </c>
      <c r="N231" s="33">
        <v>0</v>
      </c>
      <c r="O231" s="38">
        <v>10.06</v>
      </c>
      <c r="P231" s="38">
        <v>10.06</v>
      </c>
      <c r="Q231" s="14" t="e">
        <f t="shared" si="34"/>
        <v>#DIV/0!</v>
      </c>
      <c r="R231" s="14">
        <f t="shared" si="35"/>
        <v>8537.3757455268387</v>
      </c>
      <c r="S231" s="43">
        <f t="shared" si="36"/>
        <v>0.19599117873110281</v>
      </c>
      <c r="T231" s="38">
        <v>0</v>
      </c>
      <c r="U231" s="5" t="s">
        <v>29</v>
      </c>
      <c r="V231" t="s">
        <v>298</v>
      </c>
      <c r="X231" t="s">
        <v>31</v>
      </c>
      <c r="Y231" s="6" t="s">
        <v>32</v>
      </c>
    </row>
    <row r="232" spans="1:45" x14ac:dyDescent="0.25">
      <c r="A232" t="s">
        <v>159</v>
      </c>
      <c r="B232" t="s">
        <v>160</v>
      </c>
      <c r="C232" s="24">
        <v>44914</v>
      </c>
      <c r="D232" s="14">
        <v>300750</v>
      </c>
      <c r="E232" t="s">
        <v>27</v>
      </c>
      <c r="F232" t="s">
        <v>42</v>
      </c>
      <c r="G232" s="14">
        <v>300750</v>
      </c>
      <c r="H232" s="14">
        <v>164700</v>
      </c>
      <c r="I232" s="19">
        <f t="shared" si="33"/>
        <v>54.763092269326684</v>
      </c>
      <c r="J232" s="14">
        <v>329362</v>
      </c>
      <c r="K232" s="14">
        <f>G232-136762</f>
        <v>163988</v>
      </c>
      <c r="L232" s="14">
        <v>192600</v>
      </c>
      <c r="M232" s="29">
        <v>0</v>
      </c>
      <c r="N232" s="33">
        <v>0</v>
      </c>
      <c r="O232" s="38">
        <v>13.5</v>
      </c>
      <c r="P232" s="38">
        <v>1</v>
      </c>
      <c r="Q232" s="14" t="e">
        <f t="shared" si="34"/>
        <v>#DIV/0!</v>
      </c>
      <c r="R232" s="14">
        <f t="shared" si="35"/>
        <v>12147.259259259259</v>
      </c>
      <c r="S232" s="43">
        <f t="shared" si="36"/>
        <v>0.27886270108492328</v>
      </c>
      <c r="T232" s="38">
        <v>0</v>
      </c>
      <c r="U232" s="5" t="s">
        <v>29</v>
      </c>
      <c r="V232" t="s">
        <v>161</v>
      </c>
      <c r="W232" t="s">
        <v>162</v>
      </c>
      <c r="X232" t="s">
        <v>31</v>
      </c>
      <c r="Y232" s="6" t="s">
        <v>32</v>
      </c>
    </row>
    <row r="233" spans="1:45" x14ac:dyDescent="0.25">
      <c r="A233" t="s">
        <v>141</v>
      </c>
      <c r="B233" t="s">
        <v>142</v>
      </c>
      <c r="C233" s="24">
        <v>45007</v>
      </c>
      <c r="D233" s="14">
        <v>525000</v>
      </c>
      <c r="E233" t="s">
        <v>27</v>
      </c>
      <c r="F233" t="s">
        <v>28</v>
      </c>
      <c r="G233" s="14">
        <v>525000</v>
      </c>
      <c r="H233" s="14">
        <v>237900</v>
      </c>
      <c r="I233" s="19">
        <f t="shared" si="33"/>
        <v>45.31428571428571</v>
      </c>
      <c r="J233" s="14">
        <v>475739</v>
      </c>
      <c r="K233" s="14">
        <f>G233-363439</f>
        <v>161561</v>
      </c>
      <c r="L233" s="14">
        <v>112300</v>
      </c>
      <c r="M233" s="29">
        <v>0</v>
      </c>
      <c r="N233" s="33">
        <v>0</v>
      </c>
      <c r="O233" s="38">
        <v>13.25</v>
      </c>
      <c r="P233" s="38">
        <v>13.25</v>
      </c>
      <c r="Q233" s="14" t="e">
        <f t="shared" si="34"/>
        <v>#DIV/0!</v>
      </c>
      <c r="R233" s="14">
        <f t="shared" si="35"/>
        <v>12193.283018867925</v>
      </c>
      <c r="S233" s="43">
        <f t="shared" si="36"/>
        <v>0.27991926122286331</v>
      </c>
      <c r="T233" s="38">
        <v>0</v>
      </c>
      <c r="U233" s="5" t="s">
        <v>29</v>
      </c>
      <c r="V233" t="s">
        <v>143</v>
      </c>
      <c r="X233" t="s">
        <v>31</v>
      </c>
      <c r="Y233" s="6" t="s">
        <v>32</v>
      </c>
    </row>
    <row r="234" spans="1:45" x14ac:dyDescent="0.25">
      <c r="A234" t="s">
        <v>293</v>
      </c>
      <c r="B234" t="s">
        <v>294</v>
      </c>
      <c r="C234" s="24">
        <v>44532</v>
      </c>
      <c r="D234" s="14">
        <v>316000</v>
      </c>
      <c r="E234" t="s">
        <v>27</v>
      </c>
      <c r="F234" t="s">
        <v>28</v>
      </c>
      <c r="G234" s="14">
        <v>316000</v>
      </c>
      <c r="H234" s="14">
        <v>141000</v>
      </c>
      <c r="I234" s="19">
        <f t="shared" si="33"/>
        <v>44.620253164556964</v>
      </c>
      <c r="J234" s="14">
        <v>282000</v>
      </c>
      <c r="K234" s="14">
        <f>G234-183692</f>
        <v>132308</v>
      </c>
      <c r="L234" s="14">
        <v>98308</v>
      </c>
      <c r="M234" s="29">
        <v>0</v>
      </c>
      <c r="N234" s="33">
        <v>0</v>
      </c>
      <c r="O234" s="38">
        <v>10.07</v>
      </c>
      <c r="P234" s="38">
        <v>10.07</v>
      </c>
      <c r="Q234" s="14" t="e">
        <f t="shared" si="34"/>
        <v>#DIV/0!</v>
      </c>
      <c r="R234" s="14">
        <f t="shared" si="35"/>
        <v>13138.828202581926</v>
      </c>
      <c r="S234" s="43">
        <f t="shared" si="36"/>
        <v>0.30162599179481003</v>
      </c>
      <c r="T234" s="38">
        <v>0</v>
      </c>
      <c r="U234" s="5" t="s">
        <v>29</v>
      </c>
      <c r="V234" t="s">
        <v>295</v>
      </c>
      <c r="X234" t="s">
        <v>31</v>
      </c>
      <c r="Y234" s="6" t="s">
        <v>32</v>
      </c>
    </row>
    <row r="235" spans="1:45" x14ac:dyDescent="0.25">
      <c r="A235" t="s">
        <v>272</v>
      </c>
      <c r="B235" t="s">
        <v>273</v>
      </c>
      <c r="C235" s="24">
        <v>44439</v>
      </c>
      <c r="D235" s="14">
        <v>290000</v>
      </c>
      <c r="E235" t="s">
        <v>27</v>
      </c>
      <c r="F235" t="s">
        <v>28</v>
      </c>
      <c r="G235" s="14">
        <v>290000</v>
      </c>
      <c r="H235" s="14">
        <v>113500</v>
      </c>
      <c r="I235" s="19">
        <f t="shared" si="33"/>
        <v>39.137931034482762</v>
      </c>
      <c r="J235" s="14">
        <v>227021</v>
      </c>
      <c r="K235" s="14">
        <f>G235-142337</f>
        <v>147663</v>
      </c>
      <c r="L235" s="14">
        <v>84684</v>
      </c>
      <c r="M235" s="29">
        <v>0</v>
      </c>
      <c r="N235" s="33">
        <v>0</v>
      </c>
      <c r="O235" s="38">
        <v>10.37</v>
      </c>
      <c r="P235" s="38">
        <v>10.37</v>
      </c>
      <c r="Q235" s="14" t="e">
        <f t="shared" si="34"/>
        <v>#DIV/0!</v>
      </c>
      <c r="R235" s="14">
        <f t="shared" si="35"/>
        <v>14239.440694310511</v>
      </c>
      <c r="S235" s="43">
        <f t="shared" si="36"/>
        <v>0.3268925779226472</v>
      </c>
      <c r="T235" s="38">
        <v>0</v>
      </c>
      <c r="U235" s="5" t="s">
        <v>29</v>
      </c>
      <c r="V235" t="s">
        <v>274</v>
      </c>
      <c r="X235" t="s">
        <v>31</v>
      </c>
      <c r="Y235" s="6" t="s">
        <v>32</v>
      </c>
    </row>
    <row r="236" spans="1:45" ht="15.75" thickBot="1" x14ac:dyDescent="0.3">
      <c r="A236" t="s">
        <v>36</v>
      </c>
      <c r="B236" t="s">
        <v>37</v>
      </c>
      <c r="C236" s="24">
        <v>44659</v>
      </c>
      <c r="D236" s="14">
        <v>451000</v>
      </c>
      <c r="E236" t="s">
        <v>27</v>
      </c>
      <c r="F236" t="s">
        <v>28</v>
      </c>
      <c r="G236" s="14">
        <v>451000</v>
      </c>
      <c r="H236" s="14">
        <v>199700</v>
      </c>
      <c r="I236" s="19">
        <f t="shared" si="33"/>
        <v>44.27937915742794</v>
      </c>
      <c r="J236" s="14">
        <v>399319</v>
      </c>
      <c r="K236" s="14">
        <f>G236-300615</f>
        <v>150385</v>
      </c>
      <c r="L236" s="14">
        <v>98704</v>
      </c>
      <c r="M236" s="29">
        <v>0</v>
      </c>
      <c r="N236" s="33">
        <v>0</v>
      </c>
      <c r="O236" s="38">
        <v>10.16</v>
      </c>
      <c r="P236" s="38">
        <v>10.16</v>
      </c>
      <c r="Q236" s="14" t="e">
        <f t="shared" si="34"/>
        <v>#DIV/0!</v>
      </c>
      <c r="R236" s="14">
        <f t="shared" si="35"/>
        <v>14801.673228346457</v>
      </c>
      <c r="S236" s="43">
        <f t="shared" si="36"/>
        <v>0.33979966088949626</v>
      </c>
      <c r="T236" s="38">
        <v>0</v>
      </c>
      <c r="U236" s="5" t="s">
        <v>29</v>
      </c>
      <c r="V236" t="s">
        <v>38</v>
      </c>
      <c r="X236" t="s">
        <v>31</v>
      </c>
      <c r="Y236" s="6" t="s">
        <v>32</v>
      </c>
    </row>
    <row r="237" spans="1:45" ht="15.75" thickTop="1" x14ac:dyDescent="0.25">
      <c r="A237" s="7"/>
      <c r="B237" s="7"/>
      <c r="C237" s="25" t="s">
        <v>769</v>
      </c>
      <c r="D237" s="15">
        <f>+SUM(D230:D236)</f>
        <v>2905750</v>
      </c>
      <c r="E237" s="7"/>
      <c r="F237" s="7"/>
      <c r="G237" s="15">
        <f>+SUM(G230:G236)</f>
        <v>2905750</v>
      </c>
      <c r="H237" s="15">
        <f>+SUM(H230:H236)</f>
        <v>1406200</v>
      </c>
      <c r="I237" s="20"/>
      <c r="J237" s="15">
        <f>+SUM(J230:J236)</f>
        <v>2812260</v>
      </c>
      <c r="K237" s="15">
        <f>+SUM(K230:K236)</f>
        <v>885106</v>
      </c>
      <c r="L237" s="15">
        <f>+SUM(L230:L236)</f>
        <v>791616</v>
      </c>
      <c r="M237" s="30">
        <f>+SUM(M230:M236)</f>
        <v>0</v>
      </c>
      <c r="N237" s="34"/>
      <c r="O237" s="39">
        <f>+SUM(O230:O236)</f>
        <v>79.399999999999991</v>
      </c>
      <c r="P237" s="39">
        <f>+SUM(P230:P236)</f>
        <v>66.899999999999991</v>
      </c>
      <c r="Q237" s="15"/>
      <c r="R237" s="15"/>
      <c r="S237" s="44"/>
      <c r="T237" s="39"/>
      <c r="U237" s="8"/>
      <c r="V237" s="7"/>
      <c r="W237" s="7"/>
      <c r="X237" s="7"/>
      <c r="Y237" s="7"/>
    </row>
    <row r="238" spans="1:45" x14ac:dyDescent="0.25">
      <c r="A238" s="9"/>
      <c r="B238" s="9"/>
      <c r="C238" s="26"/>
      <c r="D238" s="16"/>
      <c r="E238" s="9"/>
      <c r="F238" s="9"/>
      <c r="G238" s="16"/>
      <c r="H238" s="16" t="s">
        <v>770</v>
      </c>
      <c r="I238" s="21">
        <f>H237/G237*100</f>
        <v>48.393702142304051</v>
      </c>
      <c r="J238" s="16"/>
      <c r="K238" s="16"/>
      <c r="L238" s="16" t="s">
        <v>771</v>
      </c>
      <c r="M238" s="31"/>
      <c r="N238" s="35"/>
      <c r="O238" s="40" t="s">
        <v>771</v>
      </c>
      <c r="P238" s="40"/>
      <c r="Q238" s="16"/>
      <c r="R238" s="16" t="s">
        <v>771</v>
      </c>
      <c r="S238" s="45"/>
      <c r="T238" s="40"/>
      <c r="U238" s="10"/>
      <c r="V238" s="9"/>
      <c r="W238" s="9"/>
      <c r="X238" s="9"/>
      <c r="Y238" s="9"/>
    </row>
    <row r="239" spans="1:45" x14ac:dyDescent="0.25">
      <c r="A239" s="11"/>
      <c r="B239" s="11"/>
      <c r="C239" s="27"/>
      <c r="D239" s="17"/>
      <c r="E239" s="11"/>
      <c r="F239" s="11"/>
      <c r="G239" s="17"/>
      <c r="H239" s="17" t="s">
        <v>772</v>
      </c>
      <c r="I239" s="22">
        <f>STDEV(I230:I236)</f>
        <v>6.2907964299270969</v>
      </c>
      <c r="J239" s="17"/>
      <c r="K239" s="17"/>
      <c r="L239" s="17" t="s">
        <v>773</v>
      </c>
      <c r="M239" s="47" t="e">
        <f>K237/M237</f>
        <v>#DIV/0!</v>
      </c>
      <c r="N239" s="36"/>
      <c r="O239" s="41" t="s">
        <v>774</v>
      </c>
      <c r="P239" s="41">
        <f>K237/O237</f>
        <v>11147.430730478591</v>
      </c>
      <c r="Q239" s="17"/>
      <c r="R239" s="17" t="s">
        <v>775</v>
      </c>
      <c r="S239" s="46">
        <f>K237/O237/43560</f>
        <v>0.25590979638380601</v>
      </c>
      <c r="T239" s="41"/>
      <c r="U239" s="12"/>
      <c r="V239" s="11"/>
      <c r="W239" s="11"/>
      <c r="X239" s="11"/>
      <c r="Y239" s="11"/>
    </row>
    <row r="240" spans="1:45" x14ac:dyDescent="0.25">
      <c r="A240" t="s">
        <v>817</v>
      </c>
      <c r="C240"/>
      <c r="D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</row>
    <row r="241" spans="1:45" x14ac:dyDescent="0.25">
      <c r="C241"/>
      <c r="D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</row>
    <row r="242" spans="1:45" x14ac:dyDescent="0.25">
      <c r="A242" s="48" t="s">
        <v>814</v>
      </c>
      <c r="C242"/>
      <c r="D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</row>
    <row r="243" spans="1:45" x14ac:dyDescent="0.25">
      <c r="A243" s="1" t="s">
        <v>0</v>
      </c>
      <c r="B243" s="1" t="s">
        <v>1</v>
      </c>
      <c r="C243" s="23" t="s">
        <v>2</v>
      </c>
      <c r="D243" s="13" t="s">
        <v>3</v>
      </c>
      <c r="E243" s="1" t="s">
        <v>4</v>
      </c>
      <c r="F243" s="1" t="s">
        <v>5</v>
      </c>
      <c r="G243" s="13" t="s">
        <v>6</v>
      </c>
      <c r="H243" s="13" t="s">
        <v>7</v>
      </c>
      <c r="I243" s="18" t="s">
        <v>8</v>
      </c>
      <c r="J243" s="13" t="s">
        <v>9</v>
      </c>
      <c r="K243" s="13" t="s">
        <v>10</v>
      </c>
      <c r="L243" s="13" t="s">
        <v>11</v>
      </c>
      <c r="M243" s="28" t="s">
        <v>12</v>
      </c>
      <c r="N243" s="32" t="s">
        <v>13</v>
      </c>
      <c r="O243" s="37" t="s">
        <v>14</v>
      </c>
      <c r="P243" s="37" t="s">
        <v>15</v>
      </c>
      <c r="Q243" s="13" t="s">
        <v>16</v>
      </c>
      <c r="R243" s="13" t="s">
        <v>17</v>
      </c>
      <c r="S243" s="42" t="s">
        <v>18</v>
      </c>
      <c r="T243" s="37" t="s">
        <v>19</v>
      </c>
      <c r="U243" s="3" t="s">
        <v>20</v>
      </c>
      <c r="V243" s="1" t="s">
        <v>21</v>
      </c>
      <c r="W243" s="1" t="s">
        <v>22</v>
      </c>
      <c r="X243" s="1" t="s">
        <v>23</v>
      </c>
      <c r="Y243" s="1" t="s">
        <v>24</v>
      </c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</row>
    <row r="244" spans="1:45" x14ac:dyDescent="0.25">
      <c r="A244" t="s">
        <v>204</v>
      </c>
      <c r="B244" t="s">
        <v>205</v>
      </c>
      <c r="C244" s="24">
        <v>45198</v>
      </c>
      <c r="D244" s="14">
        <v>270000</v>
      </c>
      <c r="E244" t="s">
        <v>27</v>
      </c>
      <c r="F244" t="s">
        <v>28</v>
      </c>
      <c r="G244" s="14">
        <v>270000</v>
      </c>
      <c r="H244" s="14">
        <v>104700</v>
      </c>
      <c r="I244" s="19">
        <f>H244/G244*100</f>
        <v>38.777777777777779</v>
      </c>
      <c r="J244" s="14">
        <v>209446</v>
      </c>
      <c r="K244" s="14">
        <f>G244-88270</f>
        <v>181730</v>
      </c>
      <c r="L244" s="14">
        <v>121176</v>
      </c>
      <c r="M244" s="29">
        <v>0</v>
      </c>
      <c r="N244" s="33">
        <v>0</v>
      </c>
      <c r="O244" s="38">
        <v>15.98</v>
      </c>
      <c r="P244" s="38">
        <v>15.98</v>
      </c>
      <c r="Q244" s="14" t="e">
        <f>K244/M244</f>
        <v>#DIV/0!</v>
      </c>
      <c r="R244" s="14">
        <f>K244/O244</f>
        <v>11372.340425531915</v>
      </c>
      <c r="S244" s="43">
        <f>K244/O244/43560</f>
        <v>0.26107301252368947</v>
      </c>
      <c r="T244" s="38">
        <v>0</v>
      </c>
      <c r="U244" s="5" t="s">
        <v>29</v>
      </c>
      <c r="V244" t="s">
        <v>206</v>
      </c>
      <c r="X244" t="s">
        <v>31</v>
      </c>
      <c r="Y244" s="6" t="s">
        <v>32</v>
      </c>
    </row>
    <row r="245" spans="1:45" ht="15.75" thickBot="1" x14ac:dyDescent="0.3">
      <c r="A245" t="s">
        <v>110</v>
      </c>
      <c r="B245" t="s">
        <v>111</v>
      </c>
      <c r="C245" s="24">
        <v>44589</v>
      </c>
      <c r="D245" s="14">
        <v>120000</v>
      </c>
      <c r="E245" t="s">
        <v>27</v>
      </c>
      <c r="F245" t="s">
        <v>28</v>
      </c>
      <c r="G245" s="14">
        <v>120000</v>
      </c>
      <c r="H245" s="14">
        <v>62700</v>
      </c>
      <c r="I245" s="19">
        <f>H245/G245*100</f>
        <v>52.25</v>
      </c>
      <c r="J245" s="14">
        <v>125352</v>
      </c>
      <c r="K245" s="14">
        <f>G245-0</f>
        <v>120000</v>
      </c>
      <c r="L245" s="14">
        <v>125352</v>
      </c>
      <c r="M245" s="29">
        <v>0</v>
      </c>
      <c r="N245" s="33">
        <v>0</v>
      </c>
      <c r="O245" s="38">
        <v>19.46</v>
      </c>
      <c r="P245" s="38">
        <v>19.46</v>
      </c>
      <c r="Q245" s="14" t="e">
        <f>K245/M245</f>
        <v>#DIV/0!</v>
      </c>
      <c r="R245" s="14">
        <f>K245/O245</f>
        <v>6166.4953751284684</v>
      </c>
      <c r="S245" s="43">
        <f>K245/O245/43560</f>
        <v>0.14156325470910167</v>
      </c>
      <c r="T245" s="38">
        <v>0</v>
      </c>
      <c r="U245" s="5" t="s">
        <v>29</v>
      </c>
      <c r="V245" t="s">
        <v>112</v>
      </c>
      <c r="X245" t="s">
        <v>31</v>
      </c>
      <c r="Y245" s="6" t="s">
        <v>113</v>
      </c>
    </row>
    <row r="246" spans="1:45" ht="15.75" thickTop="1" x14ac:dyDescent="0.25">
      <c r="A246" s="7"/>
      <c r="B246" s="7"/>
      <c r="C246" s="25" t="s">
        <v>769</v>
      </c>
      <c r="D246" s="15">
        <f>+SUM(D244:D245)</f>
        <v>390000</v>
      </c>
      <c r="E246" s="7"/>
      <c r="F246" s="7"/>
      <c r="G246" s="15">
        <f>+SUM(G244:G245)</f>
        <v>390000</v>
      </c>
      <c r="H246" s="15">
        <f>+SUM(H244:H245)</f>
        <v>167400</v>
      </c>
      <c r="I246" s="20"/>
      <c r="J246" s="15">
        <f>+SUM(J244:J245)</f>
        <v>334798</v>
      </c>
      <c r="K246" s="15">
        <f>+SUM(K244:K245)</f>
        <v>301730</v>
      </c>
      <c r="L246" s="15">
        <f>+SUM(L244:L245)</f>
        <v>246528</v>
      </c>
      <c r="M246" s="30">
        <f>+SUM(M244:M245)</f>
        <v>0</v>
      </c>
      <c r="N246" s="34"/>
      <c r="O246" s="39">
        <f>+SUM(O244:O245)</f>
        <v>35.44</v>
      </c>
      <c r="P246" s="39">
        <f>+SUM(P244:P245)</f>
        <v>35.44</v>
      </c>
      <c r="Q246" s="15"/>
      <c r="R246" s="15"/>
      <c r="S246" s="44"/>
      <c r="T246" s="39"/>
      <c r="U246" s="8"/>
      <c r="V246" s="7"/>
      <c r="W246" s="7"/>
      <c r="X246" s="7"/>
      <c r="Y246" s="7"/>
    </row>
    <row r="247" spans="1:45" x14ac:dyDescent="0.25">
      <c r="A247" s="9"/>
      <c r="B247" s="9"/>
      <c r="C247" s="26"/>
      <c r="D247" s="16"/>
      <c r="E247" s="9"/>
      <c r="F247" s="9"/>
      <c r="G247" s="16"/>
      <c r="H247" s="16" t="s">
        <v>770</v>
      </c>
      <c r="I247" s="21">
        <f>H246/G246*100</f>
        <v>42.923076923076927</v>
      </c>
      <c r="J247" s="16"/>
      <c r="K247" s="16"/>
      <c r="L247" s="16" t="s">
        <v>771</v>
      </c>
      <c r="M247" s="31"/>
      <c r="N247" s="35"/>
      <c r="O247" s="40" t="s">
        <v>771</v>
      </c>
      <c r="P247" s="40"/>
      <c r="Q247" s="16"/>
      <c r="R247" s="16" t="s">
        <v>771</v>
      </c>
      <c r="S247" s="45"/>
      <c r="T247" s="40"/>
      <c r="U247" s="10"/>
      <c r="V247" s="9"/>
      <c r="W247" s="9"/>
      <c r="X247" s="9"/>
      <c r="Y247" s="9"/>
    </row>
    <row r="248" spans="1:45" x14ac:dyDescent="0.25">
      <c r="A248" s="11"/>
      <c r="B248" s="11"/>
      <c r="C248" s="27"/>
      <c r="D248" s="17"/>
      <c r="E248" s="11"/>
      <c r="F248" s="11"/>
      <c r="G248" s="17"/>
      <c r="H248" s="17" t="s">
        <v>772</v>
      </c>
      <c r="I248" s="22">
        <f>STDEV(I244:I245)</f>
        <v>9.5262996909854394</v>
      </c>
      <c r="J248" s="17"/>
      <c r="K248" s="17"/>
      <c r="L248" s="17" t="s">
        <v>773</v>
      </c>
      <c r="M248" s="47" t="e">
        <f>K246/M246</f>
        <v>#DIV/0!</v>
      </c>
      <c r="N248" s="36"/>
      <c r="O248" s="41" t="s">
        <v>774</v>
      </c>
      <c r="P248" s="41">
        <f>K246/O246</f>
        <v>8513.8261851015814</v>
      </c>
      <c r="Q248" s="17"/>
      <c r="R248" s="17" t="s">
        <v>775</v>
      </c>
      <c r="S248" s="46">
        <f>K246/O246/43560</f>
        <v>0.19545055521353494</v>
      </c>
      <c r="T248" s="41"/>
      <c r="U248" s="12"/>
      <c r="V248" s="11"/>
      <c r="W248" s="11"/>
      <c r="X248" s="11"/>
      <c r="Y248" s="11"/>
    </row>
    <row r="249" spans="1:45" x14ac:dyDescent="0.25">
      <c r="A249" t="s">
        <v>817</v>
      </c>
      <c r="C249"/>
      <c r="D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</row>
    <row r="250" spans="1:45" x14ac:dyDescent="0.25">
      <c r="C250"/>
      <c r="D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</row>
    <row r="251" spans="1:45" x14ac:dyDescent="0.25">
      <c r="A251" s="48" t="s">
        <v>815</v>
      </c>
      <c r="C251"/>
      <c r="D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</row>
    <row r="252" spans="1:45" x14ac:dyDescent="0.25">
      <c r="A252" s="1" t="s">
        <v>0</v>
      </c>
      <c r="B252" s="1" t="s">
        <v>1</v>
      </c>
      <c r="C252" s="23" t="s">
        <v>2</v>
      </c>
      <c r="D252" s="13" t="s">
        <v>3</v>
      </c>
      <c r="E252" s="1" t="s">
        <v>4</v>
      </c>
      <c r="F252" s="1" t="s">
        <v>5</v>
      </c>
      <c r="G252" s="13" t="s">
        <v>6</v>
      </c>
      <c r="H252" s="13" t="s">
        <v>7</v>
      </c>
      <c r="I252" s="18" t="s">
        <v>8</v>
      </c>
      <c r="J252" s="13" t="s">
        <v>9</v>
      </c>
      <c r="K252" s="13" t="s">
        <v>10</v>
      </c>
      <c r="L252" s="13" t="s">
        <v>11</v>
      </c>
      <c r="M252" s="28" t="s">
        <v>12</v>
      </c>
      <c r="N252" s="32" t="s">
        <v>13</v>
      </c>
      <c r="O252" s="37" t="s">
        <v>14</v>
      </c>
      <c r="P252" s="37" t="s">
        <v>15</v>
      </c>
      <c r="Q252" s="13" t="s">
        <v>16</v>
      </c>
      <c r="R252" s="13" t="s">
        <v>17</v>
      </c>
      <c r="S252" s="42" t="s">
        <v>18</v>
      </c>
      <c r="T252" s="37" t="s">
        <v>19</v>
      </c>
      <c r="U252" s="3" t="s">
        <v>20</v>
      </c>
      <c r="V252" s="1" t="s">
        <v>21</v>
      </c>
      <c r="W252" s="1" t="s">
        <v>22</v>
      </c>
      <c r="X252" s="1" t="s">
        <v>23</v>
      </c>
      <c r="Y252" s="1" t="s">
        <v>24</v>
      </c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</row>
    <row r="253" spans="1:45" x14ac:dyDescent="0.25">
      <c r="A253" t="s">
        <v>89</v>
      </c>
      <c r="B253" t="s">
        <v>90</v>
      </c>
      <c r="C253" s="24">
        <v>44622</v>
      </c>
      <c r="D253" s="14">
        <v>750000</v>
      </c>
      <c r="E253" t="s">
        <v>27</v>
      </c>
      <c r="F253" t="s">
        <v>28</v>
      </c>
      <c r="G253" s="14">
        <v>750000</v>
      </c>
      <c r="H253" s="14">
        <v>424200</v>
      </c>
      <c r="I253" s="19">
        <f>H253/G253*100</f>
        <v>56.56</v>
      </c>
      <c r="J253" s="14">
        <v>848464</v>
      </c>
      <c r="K253" s="14">
        <f>G253-722401</f>
        <v>27599</v>
      </c>
      <c r="L253" s="14">
        <v>126063</v>
      </c>
      <c r="M253" s="29">
        <v>0</v>
      </c>
      <c r="N253" s="33">
        <v>0</v>
      </c>
      <c r="O253" s="38">
        <v>20.21</v>
      </c>
      <c r="P253" s="38">
        <v>20.21</v>
      </c>
      <c r="Q253" s="14" t="e">
        <f>K253/M253</f>
        <v>#DIV/0!</v>
      </c>
      <c r="R253" s="14">
        <f>K253/O253</f>
        <v>1365.6110836219693</v>
      </c>
      <c r="S253" s="43">
        <f>K253/O253/43560</f>
        <v>3.1350116703901962E-2</v>
      </c>
      <c r="T253" s="38">
        <v>0</v>
      </c>
      <c r="U253" s="5" t="s">
        <v>29</v>
      </c>
      <c r="V253" t="s">
        <v>91</v>
      </c>
      <c r="X253" t="s">
        <v>31</v>
      </c>
      <c r="Y253" s="6" t="s">
        <v>32</v>
      </c>
    </row>
    <row r="254" spans="1:45" ht="15.75" thickBot="1" x14ac:dyDescent="0.3">
      <c r="A254" t="s">
        <v>338</v>
      </c>
      <c r="B254" t="s">
        <v>339</v>
      </c>
      <c r="C254" s="24">
        <v>44712</v>
      </c>
      <c r="D254" s="14">
        <v>145000</v>
      </c>
      <c r="E254" t="s">
        <v>340</v>
      </c>
      <c r="F254" t="s">
        <v>28</v>
      </c>
      <c r="G254" s="14">
        <v>145000</v>
      </c>
      <c r="H254" s="14">
        <v>55500</v>
      </c>
      <c r="I254" s="19">
        <f>H254/G254*100</f>
        <v>38.275862068965516</v>
      </c>
      <c r="J254" s="14">
        <v>110933</v>
      </c>
      <c r="K254" s="14">
        <f>G254-15420</f>
        <v>129580</v>
      </c>
      <c r="L254" s="14">
        <v>95513</v>
      </c>
      <c r="M254" s="29">
        <v>0</v>
      </c>
      <c r="N254" s="33">
        <v>0</v>
      </c>
      <c r="O254" s="38">
        <v>24.5</v>
      </c>
      <c r="P254" s="38">
        <v>24.5</v>
      </c>
      <c r="Q254" s="14" t="e">
        <f>K254/M254</f>
        <v>#DIV/0!</v>
      </c>
      <c r="R254" s="14">
        <f>K254/O254</f>
        <v>5288.9795918367345</v>
      </c>
      <c r="S254" s="43">
        <f>K254/O254/43560</f>
        <v>0.12141826427540713</v>
      </c>
      <c r="T254" s="38">
        <v>0</v>
      </c>
      <c r="U254" s="5" t="s">
        <v>29</v>
      </c>
      <c r="V254" t="s">
        <v>341</v>
      </c>
      <c r="X254" t="s">
        <v>31</v>
      </c>
      <c r="Y254" s="6" t="s">
        <v>32</v>
      </c>
    </row>
    <row r="255" spans="1:45" ht="15.75" thickTop="1" x14ac:dyDescent="0.25">
      <c r="A255" s="7"/>
      <c r="B255" s="7"/>
      <c r="C255" s="25" t="s">
        <v>769</v>
      </c>
      <c r="D255" s="15">
        <f>+SUM(D253:D254)</f>
        <v>895000</v>
      </c>
      <c r="E255" s="7"/>
      <c r="F255" s="7"/>
      <c r="G255" s="15">
        <f>+SUM(G253:G254)</f>
        <v>895000</v>
      </c>
      <c r="H255" s="15">
        <f>+SUM(H253:H254)</f>
        <v>479700</v>
      </c>
      <c r="I255" s="20"/>
      <c r="J255" s="15">
        <f>+SUM(J253:J254)</f>
        <v>959397</v>
      </c>
      <c r="K255" s="15">
        <f>+SUM(K253:K254)</f>
        <v>157179</v>
      </c>
      <c r="L255" s="15">
        <f>+SUM(L253:L254)</f>
        <v>221576</v>
      </c>
      <c r="M255" s="30">
        <f>+SUM(M253:M254)</f>
        <v>0</v>
      </c>
      <c r="N255" s="34"/>
      <c r="O255" s="39">
        <f>+SUM(O253:O254)</f>
        <v>44.71</v>
      </c>
      <c r="P255" s="39">
        <f>+SUM(P253:P254)</f>
        <v>44.71</v>
      </c>
      <c r="Q255" s="15"/>
      <c r="R255" s="15"/>
      <c r="S255" s="44"/>
      <c r="T255" s="39"/>
      <c r="U255" s="8"/>
      <c r="V255" s="7"/>
      <c r="W255" s="7"/>
      <c r="X255" s="7"/>
      <c r="Y255" s="7"/>
    </row>
    <row r="256" spans="1:45" x14ac:dyDescent="0.25">
      <c r="A256" s="9"/>
      <c r="B256" s="9"/>
      <c r="C256" s="26"/>
      <c r="D256" s="16"/>
      <c r="E256" s="9"/>
      <c r="F256" s="9"/>
      <c r="G256" s="16"/>
      <c r="H256" s="16" t="s">
        <v>770</v>
      </c>
      <c r="I256" s="21">
        <f>H255/G255*100</f>
        <v>53.597765363128488</v>
      </c>
      <c r="J256" s="16"/>
      <c r="K256" s="16"/>
      <c r="L256" s="16" t="s">
        <v>771</v>
      </c>
      <c r="M256" s="31"/>
      <c r="N256" s="35"/>
      <c r="O256" s="40" t="s">
        <v>771</v>
      </c>
      <c r="P256" s="40"/>
      <c r="Q256" s="16"/>
      <c r="R256" s="16" t="s">
        <v>771</v>
      </c>
      <c r="S256" s="45"/>
      <c r="T256" s="40"/>
      <c r="U256" s="10"/>
      <c r="V256" s="9"/>
      <c r="W256" s="9"/>
      <c r="X256" s="9"/>
      <c r="Y256" s="9"/>
    </row>
    <row r="257" spans="1:45" x14ac:dyDescent="0.25">
      <c r="A257" s="11"/>
      <c r="B257" s="11"/>
      <c r="C257" s="27"/>
      <c r="D257" s="17"/>
      <c r="E257" s="11"/>
      <c r="F257" s="11"/>
      <c r="G257" s="17"/>
      <c r="H257" s="17" t="s">
        <v>772</v>
      </c>
      <c r="I257" s="22">
        <f>STDEV(I253:I254)</f>
        <v>12.928837919184625</v>
      </c>
      <c r="J257" s="17"/>
      <c r="K257" s="17"/>
      <c r="L257" s="17" t="s">
        <v>773</v>
      </c>
      <c r="M257" s="47" t="e">
        <f>K255/M255</f>
        <v>#DIV/0!</v>
      </c>
      <c r="N257" s="36"/>
      <c r="O257" s="41" t="s">
        <v>774</v>
      </c>
      <c r="P257" s="41">
        <f>K255/O255</f>
        <v>3515.5222545291881</v>
      </c>
      <c r="Q257" s="17"/>
      <c r="R257" s="17" t="s">
        <v>775</v>
      </c>
      <c r="S257" s="46">
        <f>K255/O255/43560</f>
        <v>8.0705285916648023E-2</v>
      </c>
      <c r="T257" s="41"/>
      <c r="U257" s="12"/>
      <c r="V257" s="11"/>
      <c r="W257" s="11"/>
      <c r="X257" s="11"/>
      <c r="Y257" s="11"/>
    </row>
    <row r="258" spans="1:45" x14ac:dyDescent="0.25">
      <c r="A258" t="s">
        <v>817</v>
      </c>
      <c r="C258"/>
      <c r="D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</row>
    <row r="259" spans="1:45" x14ac:dyDescent="0.25">
      <c r="C259"/>
      <c r="D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</row>
    <row r="260" spans="1:45" x14ac:dyDescent="0.25">
      <c r="A260" s="48" t="s">
        <v>816</v>
      </c>
      <c r="C260"/>
      <c r="D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</row>
    <row r="261" spans="1:45" x14ac:dyDescent="0.25">
      <c r="A261" s="1" t="s">
        <v>0</v>
      </c>
      <c r="B261" s="1" t="s">
        <v>1</v>
      </c>
      <c r="C261" s="23" t="s">
        <v>2</v>
      </c>
      <c r="D261" s="13" t="s">
        <v>3</v>
      </c>
      <c r="E261" s="1" t="s">
        <v>4</v>
      </c>
      <c r="F261" s="1" t="s">
        <v>5</v>
      </c>
      <c r="G261" s="13" t="s">
        <v>6</v>
      </c>
      <c r="H261" s="13" t="s">
        <v>7</v>
      </c>
      <c r="I261" s="18" t="s">
        <v>8</v>
      </c>
      <c r="J261" s="13" t="s">
        <v>9</v>
      </c>
      <c r="K261" s="13" t="s">
        <v>10</v>
      </c>
      <c r="L261" s="13" t="s">
        <v>11</v>
      </c>
      <c r="M261" s="28" t="s">
        <v>12</v>
      </c>
      <c r="N261" s="32" t="s">
        <v>13</v>
      </c>
      <c r="O261" s="37" t="s">
        <v>14</v>
      </c>
      <c r="P261" s="37" t="s">
        <v>15</v>
      </c>
      <c r="Q261" s="13" t="s">
        <v>16</v>
      </c>
      <c r="R261" s="13" t="s">
        <v>17</v>
      </c>
      <c r="S261" s="42" t="s">
        <v>18</v>
      </c>
      <c r="T261" s="37" t="s">
        <v>19</v>
      </c>
      <c r="U261" s="3" t="s">
        <v>20</v>
      </c>
      <c r="V261" s="1" t="s">
        <v>21</v>
      </c>
      <c r="W261" s="1" t="s">
        <v>22</v>
      </c>
      <c r="X261" s="1" t="s">
        <v>23</v>
      </c>
      <c r="Y261" s="1" t="s">
        <v>24</v>
      </c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</row>
    <row r="262" spans="1:45" ht="15.75" thickBot="1" x14ac:dyDescent="0.3">
      <c r="A262" t="s">
        <v>242</v>
      </c>
      <c r="B262" t="s">
        <v>243</v>
      </c>
      <c r="C262" s="24">
        <v>44833</v>
      </c>
      <c r="D262" s="14">
        <v>455000</v>
      </c>
      <c r="E262" t="s">
        <v>27</v>
      </c>
      <c r="F262" t="s">
        <v>28</v>
      </c>
      <c r="G262" s="14">
        <v>455000</v>
      </c>
      <c r="H262" s="14">
        <v>178700</v>
      </c>
      <c r="I262" s="19">
        <f>H262/G262*100</f>
        <v>39.274725274725277</v>
      </c>
      <c r="J262" s="14">
        <v>357394</v>
      </c>
      <c r="K262" s="14">
        <f>G262-228910</f>
        <v>226090</v>
      </c>
      <c r="L262" s="14">
        <v>128484</v>
      </c>
      <c r="M262" s="29">
        <v>0</v>
      </c>
      <c r="N262" s="33">
        <v>0</v>
      </c>
      <c r="O262" s="38">
        <v>28.28</v>
      </c>
      <c r="P262" s="38">
        <v>28.28</v>
      </c>
      <c r="Q262" s="14" t="e">
        <f>K262/M262</f>
        <v>#DIV/0!</v>
      </c>
      <c r="R262" s="14">
        <f>K262/O262</f>
        <v>7994.6958981612443</v>
      </c>
      <c r="S262" s="43">
        <f>K262/O262/43560</f>
        <v>0.18353296368597899</v>
      </c>
      <c r="T262" s="38">
        <v>0</v>
      </c>
      <c r="U262" s="5" t="s">
        <v>29</v>
      </c>
      <c r="V262" t="s">
        <v>244</v>
      </c>
      <c r="X262" t="s">
        <v>31</v>
      </c>
      <c r="Y262" s="6" t="s">
        <v>32</v>
      </c>
    </row>
    <row r="263" spans="1:45" ht="15.75" thickTop="1" x14ac:dyDescent="0.25">
      <c r="A263" s="7"/>
      <c r="B263" s="7"/>
      <c r="C263" s="25" t="s">
        <v>769</v>
      </c>
      <c r="D263" s="15">
        <f>+SUM(D262:D262)</f>
        <v>455000</v>
      </c>
      <c r="E263" s="7"/>
      <c r="F263" s="7"/>
      <c r="G263" s="15">
        <f>+SUM(G262:G262)</f>
        <v>455000</v>
      </c>
      <c r="H263" s="15">
        <f>+SUM(H262:H262)</f>
        <v>178700</v>
      </c>
      <c r="I263" s="20"/>
      <c r="J263" s="15">
        <f>+SUM(J262:J262)</f>
        <v>357394</v>
      </c>
      <c r="K263" s="15">
        <f>+SUM(K262:K262)</f>
        <v>226090</v>
      </c>
      <c r="L263" s="15">
        <f>+SUM(L262:L262)</f>
        <v>128484</v>
      </c>
      <c r="M263" s="30">
        <f>+SUM(M262:M262)</f>
        <v>0</v>
      </c>
      <c r="N263" s="34"/>
      <c r="O263" s="39">
        <f>+SUM(O262:O262)</f>
        <v>28.28</v>
      </c>
      <c r="P263" s="39">
        <f>+SUM(P262:P262)</f>
        <v>28.28</v>
      </c>
      <c r="Q263" s="15"/>
      <c r="R263" s="15"/>
      <c r="S263" s="44"/>
      <c r="T263" s="39"/>
      <c r="U263" s="8"/>
      <c r="V263" s="7"/>
      <c r="W263" s="7"/>
      <c r="X263" s="7"/>
      <c r="Y263" s="7"/>
    </row>
    <row r="264" spans="1:45" x14ac:dyDescent="0.25">
      <c r="A264" s="9"/>
      <c r="B264" s="9"/>
      <c r="C264" s="26"/>
      <c r="D264" s="16"/>
      <c r="E264" s="9"/>
      <c r="F264" s="9"/>
      <c r="G264" s="16"/>
      <c r="H264" s="16" t="s">
        <v>770</v>
      </c>
      <c r="I264" s="21">
        <f>H263/G263*100</f>
        <v>39.274725274725277</v>
      </c>
      <c r="J264" s="16"/>
      <c r="K264" s="16"/>
      <c r="L264" s="16" t="s">
        <v>771</v>
      </c>
      <c r="M264" s="31"/>
      <c r="N264" s="35"/>
      <c r="O264" s="40" t="s">
        <v>771</v>
      </c>
      <c r="P264" s="40"/>
      <c r="Q264" s="16"/>
      <c r="R264" s="16" t="s">
        <v>771</v>
      </c>
      <c r="S264" s="45"/>
      <c r="T264" s="40"/>
      <c r="U264" s="10"/>
      <c r="V264" s="9"/>
      <c r="W264" s="9"/>
      <c r="X264" s="9"/>
      <c r="Y264" s="9"/>
    </row>
    <row r="265" spans="1:45" x14ac:dyDescent="0.25">
      <c r="A265" s="11"/>
      <c r="B265" s="11"/>
      <c r="C265" s="27"/>
      <c r="D265" s="17"/>
      <c r="E265" s="11"/>
      <c r="F265" s="11"/>
      <c r="G265" s="17"/>
      <c r="H265" s="17" t="s">
        <v>772</v>
      </c>
      <c r="I265" s="22" t="e">
        <f>STDEV(I262:I262)</f>
        <v>#DIV/0!</v>
      </c>
      <c r="J265" s="17"/>
      <c r="K265" s="17"/>
      <c r="L265" s="17" t="s">
        <v>773</v>
      </c>
      <c r="M265" s="47" t="e">
        <f>K263/M263</f>
        <v>#DIV/0!</v>
      </c>
      <c r="N265" s="36"/>
      <c r="O265" s="41" t="s">
        <v>774</v>
      </c>
      <c r="P265" s="41">
        <f>K263/O263</f>
        <v>7994.6958981612443</v>
      </c>
      <c r="Q265" s="17"/>
      <c r="R265" s="17" t="s">
        <v>775</v>
      </c>
      <c r="S265" s="46">
        <f>K263/O263/43560</f>
        <v>0.18353296368597899</v>
      </c>
      <c r="T265" s="41"/>
      <c r="U265" s="12"/>
      <c r="V265" s="11"/>
      <c r="W265" s="11"/>
      <c r="X265" s="11"/>
      <c r="Y265" s="11"/>
    </row>
    <row r="266" spans="1:45" x14ac:dyDescent="0.25">
      <c r="A266" t="s">
        <v>817</v>
      </c>
      <c r="C266"/>
      <c r="D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</row>
    <row r="267" spans="1:45" x14ac:dyDescent="0.25">
      <c r="C267"/>
      <c r="D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</row>
    <row r="268" spans="1:45" x14ac:dyDescent="0.25">
      <c r="A268" s="48" t="s">
        <v>818</v>
      </c>
      <c r="C268"/>
      <c r="D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</row>
    <row r="269" spans="1:45" x14ac:dyDescent="0.25">
      <c r="A269" s="1" t="s">
        <v>0</v>
      </c>
      <c r="B269" s="1" t="s">
        <v>1</v>
      </c>
      <c r="C269" s="23" t="s">
        <v>2</v>
      </c>
      <c r="D269" s="13" t="s">
        <v>3</v>
      </c>
      <c r="E269" s="1" t="s">
        <v>4</v>
      </c>
      <c r="F269" s="1" t="s">
        <v>5</v>
      </c>
      <c r="G269" s="13" t="s">
        <v>6</v>
      </c>
      <c r="H269" s="13" t="s">
        <v>7</v>
      </c>
      <c r="I269" s="18" t="s">
        <v>8</v>
      </c>
      <c r="J269" s="13" t="s">
        <v>9</v>
      </c>
      <c r="K269" s="13" t="s">
        <v>10</v>
      </c>
      <c r="L269" s="13" t="s">
        <v>11</v>
      </c>
      <c r="M269" s="28" t="s">
        <v>12</v>
      </c>
      <c r="N269" s="32" t="s">
        <v>13</v>
      </c>
      <c r="O269" s="37" t="s">
        <v>14</v>
      </c>
      <c r="P269" s="37" t="s">
        <v>15</v>
      </c>
      <c r="Q269" s="13" t="s">
        <v>16</v>
      </c>
      <c r="R269" s="13" t="s">
        <v>17</v>
      </c>
      <c r="S269" s="42" t="s">
        <v>18</v>
      </c>
      <c r="T269" s="37" t="s">
        <v>19</v>
      </c>
      <c r="U269" s="3" t="s">
        <v>20</v>
      </c>
      <c r="V269" s="1" t="s">
        <v>21</v>
      </c>
      <c r="W269" s="1" t="s">
        <v>22</v>
      </c>
      <c r="X269" s="1" t="s">
        <v>23</v>
      </c>
      <c r="Y269" s="1" t="s">
        <v>24</v>
      </c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</row>
    <row r="270" spans="1:45" ht="15.75" thickBot="1" x14ac:dyDescent="0.3">
      <c r="A270" t="s">
        <v>166</v>
      </c>
      <c r="B270" t="s">
        <v>167</v>
      </c>
      <c r="C270" s="24">
        <v>45000</v>
      </c>
      <c r="D270" s="14">
        <v>365000</v>
      </c>
      <c r="E270" t="s">
        <v>27</v>
      </c>
      <c r="F270" t="s">
        <v>28</v>
      </c>
      <c r="G270" s="14">
        <v>365000</v>
      </c>
      <c r="H270" s="14">
        <v>157200</v>
      </c>
      <c r="I270" s="19">
        <f>H270/G270*100</f>
        <v>43.068493150684937</v>
      </c>
      <c r="J270" s="14">
        <v>314321</v>
      </c>
      <c r="K270" s="14">
        <f>G270-184876</f>
        <v>180124</v>
      </c>
      <c r="L270" s="14">
        <v>129445</v>
      </c>
      <c r="M270" s="29">
        <v>0</v>
      </c>
      <c r="N270" s="33">
        <v>0</v>
      </c>
      <c r="O270" s="38">
        <v>34.450000000000003</v>
      </c>
      <c r="P270" s="38">
        <v>34.450000000000003</v>
      </c>
      <c r="Q270" s="14" t="e">
        <f>K270/M270</f>
        <v>#DIV/0!</v>
      </c>
      <c r="R270" s="14">
        <f>K270/O270</f>
        <v>5228.5631349782288</v>
      </c>
      <c r="S270" s="43">
        <f>K270/O270/43560</f>
        <v>0.12003129327314575</v>
      </c>
      <c r="T270" s="38">
        <v>0</v>
      </c>
      <c r="U270" s="5" t="s">
        <v>29</v>
      </c>
      <c r="V270" t="s">
        <v>168</v>
      </c>
      <c r="X270" t="s">
        <v>31</v>
      </c>
      <c r="Y270" s="6" t="s">
        <v>32</v>
      </c>
    </row>
    <row r="271" spans="1:45" ht="15.75" thickTop="1" x14ac:dyDescent="0.25">
      <c r="A271" s="7"/>
      <c r="B271" s="7"/>
      <c r="C271" s="25" t="s">
        <v>769</v>
      </c>
      <c r="D271" s="15">
        <f>+SUM(D270:D270)</f>
        <v>365000</v>
      </c>
      <c r="E271" s="7"/>
      <c r="F271" s="7"/>
      <c r="G271" s="15">
        <f>+SUM(G270:G270)</f>
        <v>365000</v>
      </c>
      <c r="H271" s="15">
        <f>+SUM(H270:H270)</f>
        <v>157200</v>
      </c>
      <c r="I271" s="20"/>
      <c r="J271" s="15">
        <f>+SUM(J270:J270)</f>
        <v>314321</v>
      </c>
      <c r="K271" s="15">
        <f>+SUM(K270:K270)</f>
        <v>180124</v>
      </c>
      <c r="L271" s="15">
        <f>+SUM(L270:L270)</f>
        <v>129445</v>
      </c>
      <c r="M271" s="30">
        <f>+SUM(M270:M270)</f>
        <v>0</v>
      </c>
      <c r="N271" s="34"/>
      <c r="O271" s="39">
        <f>+SUM(O270:O270)</f>
        <v>34.450000000000003</v>
      </c>
      <c r="P271" s="39">
        <f>+SUM(P270:P270)</f>
        <v>34.450000000000003</v>
      </c>
      <c r="Q271" s="15"/>
      <c r="R271" s="15"/>
      <c r="S271" s="44"/>
      <c r="T271" s="39"/>
      <c r="U271" s="8"/>
      <c r="V271" s="7"/>
      <c r="W271" s="7"/>
      <c r="X271" s="7"/>
      <c r="Y271" s="7"/>
    </row>
    <row r="272" spans="1:45" x14ac:dyDescent="0.25">
      <c r="A272" s="9"/>
      <c r="B272" s="9"/>
      <c r="C272" s="26"/>
      <c r="D272" s="16"/>
      <c r="E272" s="9"/>
      <c r="F272" s="9"/>
      <c r="G272" s="16"/>
      <c r="H272" s="16" t="s">
        <v>770</v>
      </c>
      <c r="I272" s="21">
        <f>H271/G271*100</f>
        <v>43.068493150684937</v>
      </c>
      <c r="J272" s="16"/>
      <c r="K272" s="16"/>
      <c r="L272" s="16" t="s">
        <v>771</v>
      </c>
      <c r="M272" s="31"/>
      <c r="N272" s="35"/>
      <c r="O272" s="40" t="s">
        <v>771</v>
      </c>
      <c r="P272" s="40"/>
      <c r="Q272" s="16"/>
      <c r="R272" s="16" t="s">
        <v>771</v>
      </c>
      <c r="S272" s="45"/>
      <c r="T272" s="40"/>
      <c r="U272" s="10"/>
      <c r="V272" s="9"/>
      <c r="W272" s="9"/>
      <c r="X272" s="9"/>
      <c r="Y272" s="9"/>
    </row>
    <row r="273" spans="1:45" x14ac:dyDescent="0.25">
      <c r="A273" s="11"/>
      <c r="B273" s="11"/>
      <c r="C273" s="27"/>
      <c r="D273" s="17"/>
      <c r="E273" s="11"/>
      <c r="F273" s="11"/>
      <c r="G273" s="17"/>
      <c r="H273" s="17" t="s">
        <v>772</v>
      </c>
      <c r="I273" s="22" t="e">
        <f>STDEV(I270:I270)</f>
        <v>#DIV/0!</v>
      </c>
      <c r="J273" s="17"/>
      <c r="K273" s="17"/>
      <c r="L273" s="17" t="s">
        <v>773</v>
      </c>
      <c r="M273" s="47" t="e">
        <f>K271/M271</f>
        <v>#DIV/0!</v>
      </c>
      <c r="N273" s="36"/>
      <c r="O273" s="41" t="s">
        <v>774</v>
      </c>
      <c r="P273" s="41">
        <f>K271/O271</f>
        <v>5228.5631349782288</v>
      </c>
      <c r="Q273" s="17"/>
      <c r="R273" s="17" t="s">
        <v>775</v>
      </c>
      <c r="S273" s="46">
        <f>K271/O271/43560</f>
        <v>0.12003129327314575</v>
      </c>
      <c r="T273" s="41"/>
      <c r="U273" s="12"/>
      <c r="V273" s="11"/>
      <c r="W273" s="11"/>
      <c r="X273" s="11"/>
      <c r="Y273" s="11"/>
    </row>
    <row r="274" spans="1:45" x14ac:dyDescent="0.25">
      <c r="A274" t="s">
        <v>817</v>
      </c>
      <c r="C274"/>
      <c r="D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</row>
    <row r="275" spans="1:45" x14ac:dyDescent="0.25">
      <c r="C275"/>
      <c r="D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</row>
    <row r="276" spans="1:45" x14ac:dyDescent="0.25">
      <c r="A276" s="48" t="s">
        <v>819</v>
      </c>
      <c r="C276"/>
      <c r="D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</row>
    <row r="277" spans="1:45" x14ac:dyDescent="0.25">
      <c r="A277" s="1" t="s">
        <v>0</v>
      </c>
      <c r="B277" s="1" t="s">
        <v>1</v>
      </c>
      <c r="C277" s="23" t="s">
        <v>2</v>
      </c>
      <c r="D277" s="13" t="s">
        <v>3</v>
      </c>
      <c r="E277" s="1" t="s">
        <v>4</v>
      </c>
      <c r="F277" s="1" t="s">
        <v>5</v>
      </c>
      <c r="G277" s="13" t="s">
        <v>6</v>
      </c>
      <c r="H277" s="13" t="s">
        <v>7</v>
      </c>
      <c r="I277" s="18" t="s">
        <v>8</v>
      </c>
      <c r="J277" s="13" t="s">
        <v>9</v>
      </c>
      <c r="K277" s="13" t="s">
        <v>10</v>
      </c>
      <c r="L277" s="13" t="s">
        <v>11</v>
      </c>
      <c r="M277" s="28" t="s">
        <v>12</v>
      </c>
      <c r="N277" s="32" t="s">
        <v>13</v>
      </c>
      <c r="O277" s="37" t="s">
        <v>14</v>
      </c>
      <c r="P277" s="37" t="s">
        <v>15</v>
      </c>
      <c r="Q277" s="13" t="s">
        <v>16</v>
      </c>
      <c r="R277" s="13" t="s">
        <v>17</v>
      </c>
      <c r="S277" s="42" t="s">
        <v>18</v>
      </c>
      <c r="T277" s="37" t="s">
        <v>19</v>
      </c>
      <c r="U277" s="3" t="s">
        <v>20</v>
      </c>
      <c r="V277" s="1" t="s">
        <v>21</v>
      </c>
      <c r="W277" s="1" t="s">
        <v>22</v>
      </c>
      <c r="X277" s="1" t="s">
        <v>23</v>
      </c>
      <c r="Y277" s="1" t="s">
        <v>24</v>
      </c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</row>
    <row r="278" spans="1:45" ht="15.75" thickBot="1" x14ac:dyDescent="0.3">
      <c r="A278" t="s">
        <v>329</v>
      </c>
      <c r="B278" t="s">
        <v>330</v>
      </c>
      <c r="C278" s="24">
        <v>45070</v>
      </c>
      <c r="D278" s="14">
        <v>220000</v>
      </c>
      <c r="E278" t="s">
        <v>27</v>
      </c>
      <c r="F278" t="s">
        <v>28</v>
      </c>
      <c r="G278" s="14">
        <v>220000</v>
      </c>
      <c r="H278" s="14">
        <v>65300</v>
      </c>
      <c r="I278" s="19">
        <f>H278/G278*100</f>
        <v>29.68181818181818</v>
      </c>
      <c r="J278" s="14">
        <v>130600</v>
      </c>
      <c r="K278" s="14">
        <f>G278-0</f>
        <v>220000</v>
      </c>
      <c r="L278" s="14">
        <v>130600</v>
      </c>
      <c r="M278" s="29">
        <v>0</v>
      </c>
      <c r="N278" s="33">
        <v>0</v>
      </c>
      <c r="O278" s="38">
        <v>42.4</v>
      </c>
      <c r="P278" s="38">
        <v>42.4</v>
      </c>
      <c r="Q278" s="14" t="e">
        <f>K278/M278</f>
        <v>#DIV/0!</v>
      </c>
      <c r="R278" s="14">
        <f>K278/O278</f>
        <v>5188.6792452830186</v>
      </c>
      <c r="S278" s="43">
        <f>K278/O278/43560</f>
        <v>0.119115685153421</v>
      </c>
      <c r="T278" s="38">
        <v>0</v>
      </c>
      <c r="U278" s="5" t="s">
        <v>29</v>
      </c>
      <c r="V278" t="s">
        <v>331</v>
      </c>
      <c r="X278" t="s">
        <v>31</v>
      </c>
      <c r="Y278" s="6" t="s">
        <v>113</v>
      </c>
    </row>
    <row r="279" spans="1:45" ht="15.75" thickTop="1" x14ac:dyDescent="0.25">
      <c r="A279" s="7"/>
      <c r="B279" s="7"/>
      <c r="C279" s="25" t="s">
        <v>769</v>
      </c>
      <c r="D279" s="15">
        <f>+SUM(D278:D278)</f>
        <v>220000</v>
      </c>
      <c r="E279" s="7"/>
      <c r="F279" s="7"/>
      <c r="G279" s="15">
        <f>+SUM(G278:G278)</f>
        <v>220000</v>
      </c>
      <c r="H279" s="15">
        <f>+SUM(H278:H278)</f>
        <v>65300</v>
      </c>
      <c r="I279" s="20"/>
      <c r="J279" s="15">
        <f>+SUM(J278:J278)</f>
        <v>130600</v>
      </c>
      <c r="K279" s="15">
        <f>+SUM(K278:K278)</f>
        <v>220000</v>
      </c>
      <c r="L279" s="15">
        <f>+SUM(L278:L278)</f>
        <v>130600</v>
      </c>
      <c r="M279" s="30">
        <f>+SUM(M278:M278)</f>
        <v>0</v>
      </c>
      <c r="N279" s="34"/>
      <c r="O279" s="39">
        <f>+SUM(O278:O278)</f>
        <v>42.4</v>
      </c>
      <c r="P279" s="39">
        <f>+SUM(P278:P278)</f>
        <v>42.4</v>
      </c>
      <c r="Q279" s="15"/>
      <c r="R279" s="15"/>
      <c r="S279" s="44"/>
      <c r="T279" s="39"/>
      <c r="U279" s="8"/>
      <c r="V279" s="7"/>
      <c r="W279" s="7"/>
      <c r="X279" s="7"/>
      <c r="Y279" s="7"/>
    </row>
    <row r="280" spans="1:45" x14ac:dyDescent="0.25">
      <c r="A280" s="9"/>
      <c r="B280" s="9"/>
      <c r="C280" s="26"/>
      <c r="D280" s="16"/>
      <c r="E280" s="9"/>
      <c r="F280" s="9"/>
      <c r="G280" s="16"/>
      <c r="H280" s="16" t="s">
        <v>770</v>
      </c>
      <c r="I280" s="21">
        <f>H279/G279*100</f>
        <v>29.68181818181818</v>
      </c>
      <c r="J280" s="16"/>
      <c r="K280" s="16"/>
      <c r="L280" s="16" t="s">
        <v>771</v>
      </c>
      <c r="M280" s="31"/>
      <c r="N280" s="35"/>
      <c r="O280" s="40" t="s">
        <v>771</v>
      </c>
      <c r="P280" s="40"/>
      <c r="Q280" s="16"/>
      <c r="R280" s="16" t="s">
        <v>771</v>
      </c>
      <c r="S280" s="45"/>
      <c r="T280" s="40"/>
      <c r="U280" s="10"/>
      <c r="V280" s="9"/>
      <c r="W280" s="9"/>
      <c r="X280" s="9"/>
      <c r="Y280" s="9"/>
    </row>
    <row r="281" spans="1:45" x14ac:dyDescent="0.25">
      <c r="A281" s="11"/>
      <c r="B281" s="11"/>
      <c r="C281" s="27"/>
      <c r="D281" s="17"/>
      <c r="E281" s="11"/>
      <c r="F281" s="11"/>
      <c r="G281" s="17"/>
      <c r="H281" s="17" t="s">
        <v>772</v>
      </c>
      <c r="I281" s="22" t="e">
        <f>STDEV(I278:I278)</f>
        <v>#DIV/0!</v>
      </c>
      <c r="J281" s="17"/>
      <c r="K281" s="17"/>
      <c r="L281" s="17" t="s">
        <v>773</v>
      </c>
      <c r="M281" s="47" t="e">
        <f>K279/M279</f>
        <v>#DIV/0!</v>
      </c>
      <c r="N281" s="36"/>
      <c r="O281" s="41" t="s">
        <v>774</v>
      </c>
      <c r="P281" s="41">
        <f>K279/O279</f>
        <v>5188.6792452830186</v>
      </c>
      <c r="Q281" s="17"/>
      <c r="R281" s="17" t="s">
        <v>775</v>
      </c>
      <c r="S281" s="46">
        <f>K279/O279/43560</f>
        <v>0.119115685153421</v>
      </c>
      <c r="T281" s="41"/>
      <c r="U281" s="12"/>
      <c r="V281" s="11"/>
      <c r="W281" s="11"/>
      <c r="X281" s="11"/>
      <c r="Y281" s="11"/>
    </row>
    <row r="282" spans="1:45" x14ac:dyDescent="0.25">
      <c r="A282" t="s">
        <v>817</v>
      </c>
      <c r="C282"/>
      <c r="D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</row>
    <row r="283" spans="1:45" x14ac:dyDescent="0.25">
      <c r="C283"/>
      <c r="D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</row>
    <row r="284" spans="1:45" x14ac:dyDescent="0.25">
      <c r="A284" s="48" t="s">
        <v>820</v>
      </c>
      <c r="C284"/>
      <c r="D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</row>
    <row r="285" spans="1:45" x14ac:dyDescent="0.25">
      <c r="A285" t="s">
        <v>817</v>
      </c>
      <c r="C285"/>
      <c r="D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</row>
    <row r="286" spans="1:45" x14ac:dyDescent="0.25">
      <c r="C286"/>
      <c r="D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</row>
    <row r="287" spans="1:45" x14ac:dyDescent="0.25">
      <c r="C287"/>
      <c r="D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</row>
    <row r="288" spans="1:45" x14ac:dyDescent="0.25">
      <c r="A288" s="48" t="s">
        <v>821</v>
      </c>
      <c r="C288"/>
      <c r="D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</row>
    <row r="289" spans="1:21" x14ac:dyDescent="0.25">
      <c r="A289" t="s">
        <v>817</v>
      </c>
      <c r="C289"/>
      <c r="D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</row>
    <row r="290" spans="1:21" x14ac:dyDescent="0.25">
      <c r="A290" s="48"/>
      <c r="C290"/>
      <c r="D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</row>
    <row r="291" spans="1:21" x14ac:dyDescent="0.25">
      <c r="A291" s="48"/>
      <c r="C291"/>
      <c r="D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</row>
    <row r="292" spans="1:21" x14ac:dyDescent="0.25">
      <c r="A292" s="48"/>
      <c r="C292"/>
      <c r="D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</row>
    <row r="293" spans="1:21" x14ac:dyDescent="0.25">
      <c r="A293" s="48"/>
      <c r="C293"/>
      <c r="D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</row>
    <row r="294" spans="1:21" x14ac:dyDescent="0.25">
      <c r="A294" s="48"/>
      <c r="C294"/>
      <c r="D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</row>
    <row r="295" spans="1:21" x14ac:dyDescent="0.25">
      <c r="A295" s="48"/>
      <c r="C295"/>
      <c r="D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</row>
    <row r="296" spans="1:21" x14ac:dyDescent="0.25">
      <c r="A296" s="48"/>
      <c r="C296"/>
      <c r="D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</row>
    <row r="297" spans="1:21" x14ac:dyDescent="0.25">
      <c r="C297"/>
      <c r="D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</row>
    <row r="298" spans="1:21" x14ac:dyDescent="0.25">
      <c r="C298"/>
      <c r="D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</row>
    <row r="299" spans="1:21" x14ac:dyDescent="0.25">
      <c r="A299" s="62" t="s">
        <v>822</v>
      </c>
      <c r="B299" s="63"/>
      <c r="C299" s="64"/>
      <c r="D299" s="65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</row>
    <row r="300" spans="1:21" ht="33" customHeight="1" x14ac:dyDescent="0.25">
      <c r="A300" s="66" t="s">
        <v>823</v>
      </c>
      <c r="B300" s="67" t="s">
        <v>824</v>
      </c>
      <c r="C300" s="68" t="s">
        <v>825</v>
      </c>
      <c r="D300" s="68" t="s">
        <v>826</v>
      </c>
      <c r="E300" s="48"/>
      <c r="F300" s="68" t="s">
        <v>827</v>
      </c>
      <c r="G300" t="s">
        <v>828</v>
      </c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</row>
    <row r="301" spans="1:21" x14ac:dyDescent="0.25">
      <c r="A301" s="69">
        <v>1</v>
      </c>
      <c r="B301" s="64">
        <f>P121</f>
        <v>45959.6</v>
      </c>
      <c r="C301" s="70">
        <f>A301*B301</f>
        <v>45959.6</v>
      </c>
      <c r="D301" s="71">
        <v>44000</v>
      </c>
      <c r="E301" s="72">
        <v>1</v>
      </c>
      <c r="F301" s="73">
        <f t="shared" ref="F301:F316" si="37">A301*D301</f>
        <v>44000</v>
      </c>
      <c r="G301">
        <v>44000</v>
      </c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</row>
    <row r="302" spans="1:21" x14ac:dyDescent="0.25">
      <c r="A302" s="69">
        <v>1.5</v>
      </c>
      <c r="B302" s="64">
        <f>P137</f>
        <v>43642.442356959858</v>
      </c>
      <c r="C302" s="70">
        <f t="shared" ref="C302:C316" si="38">A302*B302</f>
        <v>65463.663535439788</v>
      </c>
      <c r="D302" s="71">
        <v>39000</v>
      </c>
      <c r="E302" s="74">
        <v>2</v>
      </c>
      <c r="F302" s="73">
        <f t="shared" si="37"/>
        <v>58500</v>
      </c>
      <c r="G302">
        <v>57750</v>
      </c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</row>
    <row r="303" spans="1:21" x14ac:dyDescent="0.25">
      <c r="A303" s="69">
        <v>2</v>
      </c>
      <c r="B303" s="64">
        <f>P153</f>
        <v>31866.082895504958</v>
      </c>
      <c r="C303" s="70">
        <f t="shared" si="38"/>
        <v>63732.165791009917</v>
      </c>
      <c r="D303" s="71">
        <v>34300</v>
      </c>
      <c r="E303" s="72">
        <v>3</v>
      </c>
      <c r="F303" s="73">
        <f t="shared" si="37"/>
        <v>68600</v>
      </c>
      <c r="G303">
        <v>66000</v>
      </c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</row>
    <row r="304" spans="1:21" x14ac:dyDescent="0.25">
      <c r="A304" s="69">
        <v>2.5</v>
      </c>
      <c r="B304" s="64">
        <f>P165</f>
        <v>37277.87769784173</v>
      </c>
      <c r="C304" s="70">
        <f t="shared" si="38"/>
        <v>93194.694244604325</v>
      </c>
      <c r="D304" s="71">
        <v>29500</v>
      </c>
      <c r="E304" s="74">
        <v>4</v>
      </c>
      <c r="F304" s="73">
        <f t="shared" si="37"/>
        <v>73750</v>
      </c>
      <c r="G304">
        <v>70000</v>
      </c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</row>
    <row r="305" spans="1:21" x14ac:dyDescent="0.25">
      <c r="A305" s="69">
        <v>3</v>
      </c>
      <c r="B305" s="64">
        <f>P175</f>
        <v>30520.351758793971</v>
      </c>
      <c r="C305" s="70">
        <f t="shared" si="38"/>
        <v>91561.055276381914</v>
      </c>
      <c r="D305" s="71">
        <v>25000</v>
      </c>
      <c r="E305" s="72">
        <v>5</v>
      </c>
      <c r="F305" s="73">
        <f t="shared" si="37"/>
        <v>75000</v>
      </c>
      <c r="G305">
        <v>70500</v>
      </c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</row>
    <row r="306" spans="1:21" x14ac:dyDescent="0.25">
      <c r="A306" s="69">
        <v>4</v>
      </c>
      <c r="B306" s="64">
        <f>P190</f>
        <v>24511.5748738857</v>
      </c>
      <c r="C306" s="70">
        <f t="shared" si="38"/>
        <v>98046.2994955428</v>
      </c>
      <c r="D306" s="71">
        <v>19750</v>
      </c>
      <c r="E306" s="74">
        <v>6</v>
      </c>
      <c r="F306" s="73">
        <f t="shared" si="37"/>
        <v>79000</v>
      </c>
      <c r="G306">
        <v>74000</v>
      </c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</row>
    <row r="307" spans="1:21" x14ac:dyDescent="0.25">
      <c r="A307" s="69">
        <v>5</v>
      </c>
      <c r="B307" s="64">
        <f>P202</f>
        <v>37534.19989904089</v>
      </c>
      <c r="C307" s="70">
        <f t="shared" si="38"/>
        <v>187670.99949520445</v>
      </c>
      <c r="D307" s="71">
        <v>16200</v>
      </c>
      <c r="E307" s="72">
        <v>7</v>
      </c>
      <c r="F307" s="73">
        <f t="shared" si="37"/>
        <v>81000</v>
      </c>
      <c r="G307">
        <v>75000</v>
      </c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</row>
    <row r="308" spans="1:21" x14ac:dyDescent="0.25">
      <c r="A308" s="69">
        <v>7</v>
      </c>
      <c r="B308" s="64">
        <f>P211</f>
        <v>12819.561688311687</v>
      </c>
      <c r="C308" s="70">
        <f t="shared" si="38"/>
        <v>89736.931818181809</v>
      </c>
      <c r="D308" s="71">
        <v>12800</v>
      </c>
      <c r="E308" s="74">
        <v>8</v>
      </c>
      <c r="F308" s="73">
        <f t="shared" si="37"/>
        <v>89600</v>
      </c>
      <c r="G308">
        <v>84000</v>
      </c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</row>
    <row r="309" spans="1:21" x14ac:dyDescent="0.25">
      <c r="A309" s="69">
        <v>10</v>
      </c>
      <c r="B309" s="64">
        <f>P225</f>
        <v>11158.053857591278</v>
      </c>
      <c r="C309" s="70">
        <f t="shared" si="38"/>
        <v>111580.53857591278</v>
      </c>
      <c r="D309" s="71">
        <v>10500</v>
      </c>
      <c r="E309" s="72">
        <v>9</v>
      </c>
      <c r="F309" s="73">
        <f t="shared" si="37"/>
        <v>105000</v>
      </c>
      <c r="G309">
        <v>98000</v>
      </c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</row>
    <row r="310" spans="1:21" x14ac:dyDescent="0.25">
      <c r="A310" s="69">
        <v>15</v>
      </c>
      <c r="B310" s="64">
        <f>P239</f>
        <v>11147.430730478591</v>
      </c>
      <c r="C310" s="70">
        <f t="shared" si="38"/>
        <v>167211.46095717885</v>
      </c>
      <c r="D310" s="71">
        <v>8500</v>
      </c>
      <c r="E310" s="74">
        <v>10</v>
      </c>
      <c r="F310" s="73">
        <f t="shared" si="37"/>
        <v>127500</v>
      </c>
      <c r="G310">
        <v>120000</v>
      </c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</row>
    <row r="311" spans="1:21" x14ac:dyDescent="0.25">
      <c r="A311" s="69">
        <v>20</v>
      </c>
      <c r="B311" s="64">
        <f>P248</f>
        <v>8513.8261851015814</v>
      </c>
      <c r="C311" s="70">
        <f t="shared" si="38"/>
        <v>170276.52370203164</v>
      </c>
      <c r="D311" s="71">
        <v>6800</v>
      </c>
      <c r="E311" s="72">
        <v>11</v>
      </c>
      <c r="F311" s="73">
        <f t="shared" si="37"/>
        <v>136000</v>
      </c>
      <c r="G311">
        <v>126000</v>
      </c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</row>
    <row r="312" spans="1:21" x14ac:dyDescent="0.25">
      <c r="A312" s="69">
        <v>25</v>
      </c>
      <c r="B312" s="64">
        <f>P257</f>
        <v>3515.5222545291881</v>
      </c>
      <c r="C312" s="70">
        <f t="shared" si="38"/>
        <v>87888.056363229698</v>
      </c>
      <c r="D312" s="71">
        <v>5500</v>
      </c>
      <c r="E312" s="74">
        <v>12</v>
      </c>
      <c r="F312" s="73">
        <f t="shared" si="37"/>
        <v>137500</v>
      </c>
      <c r="G312">
        <v>127500</v>
      </c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</row>
    <row r="313" spans="1:21" x14ac:dyDescent="0.25">
      <c r="A313" s="69">
        <v>30</v>
      </c>
      <c r="B313" s="62">
        <f>P265</f>
        <v>7994.6958981612443</v>
      </c>
      <c r="C313" s="70">
        <f t="shared" si="38"/>
        <v>239840.87694483734</v>
      </c>
      <c r="D313" s="71">
        <v>4800</v>
      </c>
      <c r="E313" s="72">
        <v>13</v>
      </c>
      <c r="F313" s="73">
        <f t="shared" si="37"/>
        <v>144000</v>
      </c>
      <c r="G313">
        <v>129000</v>
      </c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</row>
    <row r="314" spans="1:21" x14ac:dyDescent="0.25">
      <c r="A314" s="69">
        <v>40</v>
      </c>
      <c r="B314" s="64">
        <f>P273</f>
        <v>5228.5631349782288</v>
      </c>
      <c r="C314" s="70">
        <f t="shared" si="38"/>
        <v>209142.52539912914</v>
      </c>
      <c r="D314" s="71">
        <v>3700</v>
      </c>
      <c r="E314" s="74">
        <v>14</v>
      </c>
      <c r="F314" s="73">
        <f t="shared" si="37"/>
        <v>148000</v>
      </c>
      <c r="G314">
        <v>130000</v>
      </c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</row>
    <row r="315" spans="1:21" x14ac:dyDescent="0.25">
      <c r="A315" s="69">
        <v>50</v>
      </c>
      <c r="B315" s="64">
        <f>P281</f>
        <v>5188.6792452830186</v>
      </c>
      <c r="C315" s="70">
        <f t="shared" si="38"/>
        <v>259433.96226415093</v>
      </c>
      <c r="D315" s="71">
        <v>3000</v>
      </c>
      <c r="E315" s="72">
        <v>15</v>
      </c>
      <c r="F315" s="73">
        <f t="shared" si="37"/>
        <v>150000</v>
      </c>
      <c r="G315">
        <v>132500</v>
      </c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</row>
    <row r="316" spans="1:21" x14ac:dyDescent="0.25">
      <c r="A316" s="69">
        <v>100</v>
      </c>
      <c r="B316" s="62">
        <v>1500</v>
      </c>
      <c r="C316" s="70">
        <f t="shared" si="38"/>
        <v>150000</v>
      </c>
      <c r="D316" s="71">
        <v>1600</v>
      </c>
      <c r="E316" s="74">
        <v>16</v>
      </c>
      <c r="F316" s="73">
        <f t="shared" si="37"/>
        <v>160000</v>
      </c>
      <c r="G316">
        <v>175000</v>
      </c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</row>
    <row r="317" spans="1:21" x14ac:dyDescent="0.25">
      <c r="B317" s="64"/>
      <c r="C317" s="64"/>
      <c r="D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</row>
    <row r="318" spans="1:21" x14ac:dyDescent="0.25">
      <c r="A318" t="s">
        <v>829</v>
      </c>
      <c r="C318"/>
      <c r="D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</row>
    <row r="319" spans="1:21" x14ac:dyDescent="0.25">
      <c r="A319" t="s">
        <v>830</v>
      </c>
      <c r="C319"/>
      <c r="D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</row>
    <row r="320" spans="1:21" x14ac:dyDescent="0.25">
      <c r="A320" t="s">
        <v>831</v>
      </c>
      <c r="C320"/>
      <c r="D320" s="75">
        <f>SUM(D311:D316)/6</f>
        <v>4233.333333333333</v>
      </c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</row>
    <row r="321" spans="1:21" x14ac:dyDescent="0.25">
      <c r="C321"/>
      <c r="D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</row>
    <row r="322" spans="1:21" x14ac:dyDescent="0.25">
      <c r="C322"/>
      <c r="D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</row>
    <row r="323" spans="1:21" x14ac:dyDescent="0.25">
      <c r="A323" s="48" t="s">
        <v>791</v>
      </c>
      <c r="C323"/>
      <c r="D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</row>
    <row r="324" spans="1:21" x14ac:dyDescent="0.25">
      <c r="A324" s="66" t="s">
        <v>823</v>
      </c>
      <c r="B324" s="67" t="s">
        <v>832</v>
      </c>
      <c r="C324" s="67" t="s">
        <v>833</v>
      </c>
      <c r="D324" s="67" t="s">
        <v>834</v>
      </c>
      <c r="E324" s="48"/>
      <c r="F324" s="67" t="s">
        <v>833</v>
      </c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</row>
    <row r="325" spans="1:21" x14ac:dyDescent="0.25">
      <c r="A325" s="69">
        <v>1</v>
      </c>
      <c r="B325" s="64"/>
      <c r="C325" s="70">
        <f>A325*B325</f>
        <v>0</v>
      </c>
      <c r="D325" s="70">
        <f>D301*1.4</f>
        <v>61599.999999999993</v>
      </c>
      <c r="E325" s="72">
        <v>1</v>
      </c>
      <c r="F325" s="73">
        <f>A325*(D325*1.3)</f>
        <v>80080</v>
      </c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</row>
    <row r="326" spans="1:21" x14ac:dyDescent="0.25">
      <c r="A326" s="69">
        <v>1.5</v>
      </c>
      <c r="B326" s="64"/>
      <c r="C326" s="70">
        <f t="shared" ref="C326:C340" si="39">A326*B326</f>
        <v>0</v>
      </c>
      <c r="D326" s="70">
        <f t="shared" ref="D326:D340" si="40">D302*1.4</f>
        <v>54600</v>
      </c>
      <c r="E326" s="74">
        <v>2</v>
      </c>
      <c r="F326" s="73">
        <f t="shared" ref="F326:F340" si="41">A326*(D326*1.3)</f>
        <v>106470</v>
      </c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</row>
    <row r="327" spans="1:21" x14ac:dyDescent="0.25">
      <c r="A327" s="69">
        <v>2</v>
      </c>
      <c r="B327" s="64"/>
      <c r="C327" s="70">
        <f t="shared" si="39"/>
        <v>0</v>
      </c>
      <c r="D327" s="70">
        <f t="shared" si="40"/>
        <v>48020</v>
      </c>
      <c r="E327" s="72">
        <v>3</v>
      </c>
      <c r="F327" s="73">
        <f t="shared" si="41"/>
        <v>124852</v>
      </c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</row>
    <row r="328" spans="1:21" x14ac:dyDescent="0.25">
      <c r="A328" s="69">
        <v>2.5</v>
      </c>
      <c r="B328" s="64"/>
      <c r="C328" s="70">
        <f t="shared" si="39"/>
        <v>0</v>
      </c>
      <c r="D328" s="70">
        <f t="shared" si="40"/>
        <v>41300</v>
      </c>
      <c r="E328" s="74">
        <v>4</v>
      </c>
      <c r="F328" s="73">
        <f t="shared" si="41"/>
        <v>134225</v>
      </c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</row>
    <row r="329" spans="1:21" x14ac:dyDescent="0.25">
      <c r="A329" s="69">
        <v>3</v>
      </c>
      <c r="B329" s="64"/>
      <c r="C329" s="70">
        <f t="shared" si="39"/>
        <v>0</v>
      </c>
      <c r="D329" s="70">
        <f t="shared" si="40"/>
        <v>35000</v>
      </c>
      <c r="E329" s="72">
        <v>5</v>
      </c>
      <c r="F329" s="73">
        <f t="shared" si="41"/>
        <v>136500</v>
      </c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</row>
    <row r="330" spans="1:21" x14ac:dyDescent="0.25">
      <c r="A330" s="69">
        <v>4</v>
      </c>
      <c r="B330" s="64"/>
      <c r="C330" s="70">
        <f t="shared" si="39"/>
        <v>0</v>
      </c>
      <c r="D330" s="70">
        <f t="shared" si="40"/>
        <v>27650</v>
      </c>
      <c r="E330" s="74">
        <v>6</v>
      </c>
      <c r="F330" s="73">
        <f t="shared" si="41"/>
        <v>143780</v>
      </c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</row>
    <row r="331" spans="1:21" x14ac:dyDescent="0.25">
      <c r="A331" s="69">
        <v>5</v>
      </c>
      <c r="B331" s="64"/>
      <c r="C331" s="70">
        <f t="shared" si="39"/>
        <v>0</v>
      </c>
      <c r="D331" s="70">
        <f t="shared" si="40"/>
        <v>22680</v>
      </c>
      <c r="E331" s="72">
        <v>7</v>
      </c>
      <c r="F331" s="73">
        <f t="shared" si="41"/>
        <v>147420</v>
      </c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</row>
    <row r="332" spans="1:21" x14ac:dyDescent="0.25">
      <c r="A332" s="69">
        <v>7</v>
      </c>
      <c r="B332" s="64"/>
      <c r="C332" s="70">
        <f t="shared" si="39"/>
        <v>0</v>
      </c>
      <c r="D332" s="70">
        <f t="shared" si="40"/>
        <v>17920</v>
      </c>
      <c r="E332" s="74">
        <v>8</v>
      </c>
      <c r="F332" s="73">
        <f t="shared" si="41"/>
        <v>163072</v>
      </c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</row>
    <row r="333" spans="1:21" x14ac:dyDescent="0.25">
      <c r="A333" s="69">
        <v>10</v>
      </c>
      <c r="B333" s="64"/>
      <c r="C333" s="70">
        <f t="shared" si="39"/>
        <v>0</v>
      </c>
      <c r="D333" s="70">
        <f t="shared" si="40"/>
        <v>14699.999999999998</v>
      </c>
      <c r="E333" s="72">
        <v>9</v>
      </c>
      <c r="F333" s="73">
        <f t="shared" si="41"/>
        <v>191100</v>
      </c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</row>
    <row r="334" spans="1:21" x14ac:dyDescent="0.25">
      <c r="A334" s="69">
        <v>15</v>
      </c>
      <c r="B334" s="64"/>
      <c r="C334" s="70">
        <f t="shared" si="39"/>
        <v>0</v>
      </c>
      <c r="D334" s="70">
        <f t="shared" si="40"/>
        <v>11900</v>
      </c>
      <c r="E334" s="74">
        <v>10</v>
      </c>
      <c r="F334" s="73">
        <f t="shared" si="41"/>
        <v>232050</v>
      </c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</row>
    <row r="335" spans="1:21" x14ac:dyDescent="0.25">
      <c r="A335" s="69">
        <v>20</v>
      </c>
      <c r="B335" s="64"/>
      <c r="C335" s="70">
        <f t="shared" si="39"/>
        <v>0</v>
      </c>
      <c r="D335" s="70">
        <f t="shared" si="40"/>
        <v>9520</v>
      </c>
      <c r="E335" s="72">
        <v>11</v>
      </c>
      <c r="F335" s="73">
        <f t="shared" si="41"/>
        <v>247520</v>
      </c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</row>
    <row r="336" spans="1:21" x14ac:dyDescent="0.25">
      <c r="A336" s="69">
        <v>25</v>
      </c>
      <c r="B336" s="64"/>
      <c r="C336" s="70">
        <f t="shared" si="39"/>
        <v>0</v>
      </c>
      <c r="D336" s="70">
        <f t="shared" si="40"/>
        <v>7699.9999999999991</v>
      </c>
      <c r="E336" s="74">
        <v>12</v>
      </c>
      <c r="F336" s="73">
        <f t="shared" si="41"/>
        <v>250250</v>
      </c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</row>
    <row r="337" spans="1:21" x14ac:dyDescent="0.25">
      <c r="A337" s="69">
        <v>30</v>
      </c>
      <c r="B337" s="64">
        <f>P285</f>
        <v>0</v>
      </c>
      <c r="C337" s="70">
        <f t="shared" si="39"/>
        <v>0</v>
      </c>
      <c r="D337" s="70">
        <f t="shared" si="40"/>
        <v>6720</v>
      </c>
      <c r="E337" s="72">
        <v>13</v>
      </c>
      <c r="F337" s="73">
        <f t="shared" si="41"/>
        <v>262080</v>
      </c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</row>
    <row r="338" spans="1:21" x14ac:dyDescent="0.25">
      <c r="A338" s="69">
        <v>40</v>
      </c>
      <c r="B338" s="64">
        <f>P301</f>
        <v>0</v>
      </c>
      <c r="C338" s="70">
        <f t="shared" si="39"/>
        <v>0</v>
      </c>
      <c r="D338" s="70">
        <f t="shared" si="40"/>
        <v>5180</v>
      </c>
      <c r="E338" s="74">
        <v>14</v>
      </c>
      <c r="F338" s="73">
        <f t="shared" si="41"/>
        <v>269360</v>
      </c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</row>
    <row r="339" spans="1:21" x14ac:dyDescent="0.25">
      <c r="A339" s="69">
        <v>50</v>
      </c>
      <c r="B339" s="64">
        <f>P310</f>
        <v>0</v>
      </c>
      <c r="C339" s="70">
        <f t="shared" si="39"/>
        <v>0</v>
      </c>
      <c r="D339" s="70">
        <f t="shared" si="40"/>
        <v>4200</v>
      </c>
      <c r="E339" s="72">
        <v>15</v>
      </c>
      <c r="F339" s="73">
        <f t="shared" si="41"/>
        <v>273000</v>
      </c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</row>
    <row r="340" spans="1:21" x14ac:dyDescent="0.25">
      <c r="A340" s="69">
        <v>100</v>
      </c>
      <c r="B340" s="64"/>
      <c r="C340" s="70">
        <f t="shared" si="39"/>
        <v>0</v>
      </c>
      <c r="D340" s="70">
        <f t="shared" si="40"/>
        <v>2240</v>
      </c>
      <c r="E340" s="74">
        <v>16</v>
      </c>
      <c r="F340" s="73">
        <f t="shared" si="41"/>
        <v>291200</v>
      </c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</row>
    <row r="341" spans="1:21" x14ac:dyDescent="0.25">
      <c r="C341"/>
      <c r="D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</row>
    <row r="342" spans="1:21" x14ac:dyDescent="0.25">
      <c r="C342"/>
      <c r="D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</row>
    <row r="343" spans="1:21" x14ac:dyDescent="0.25">
      <c r="A343" s="48"/>
      <c r="C343"/>
      <c r="D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</row>
    <row r="344" spans="1:21" x14ac:dyDescent="0.25">
      <c r="C344"/>
      <c r="D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</row>
    <row r="345" spans="1:21" x14ac:dyDescent="0.25">
      <c r="C345"/>
      <c r="D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</row>
    <row r="346" spans="1:21" x14ac:dyDescent="0.25">
      <c r="C346"/>
      <c r="D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</row>
    <row r="347" spans="1:21" x14ac:dyDescent="0.25">
      <c r="A347" s="48"/>
      <c r="C347"/>
      <c r="D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</row>
    <row r="348" spans="1:21" x14ac:dyDescent="0.25">
      <c r="C348"/>
      <c r="D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</row>
    <row r="349" spans="1:21" x14ac:dyDescent="0.25">
      <c r="C349"/>
      <c r="D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</row>
    <row r="350" spans="1:21" x14ac:dyDescent="0.25">
      <c r="C350"/>
      <c r="D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</row>
    <row r="351" spans="1:21" x14ac:dyDescent="0.25">
      <c r="A351" s="48"/>
      <c r="C351"/>
      <c r="D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</row>
    <row r="352" spans="1:21" x14ac:dyDescent="0.25">
      <c r="C352"/>
      <c r="D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</row>
    <row r="353" spans="1:21" x14ac:dyDescent="0.25">
      <c r="C353"/>
      <c r="D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</row>
    <row r="354" spans="1:21" x14ac:dyDescent="0.25">
      <c r="C354"/>
      <c r="D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</row>
    <row r="355" spans="1:21" x14ac:dyDescent="0.25">
      <c r="A355" s="48"/>
      <c r="C355"/>
      <c r="D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</row>
    <row r="356" spans="1:21" x14ac:dyDescent="0.25">
      <c r="C356"/>
      <c r="D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</row>
    <row r="357" spans="1:21" x14ac:dyDescent="0.25">
      <c r="A357" s="48"/>
      <c r="C357"/>
      <c r="D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</row>
    <row r="358" spans="1:21" x14ac:dyDescent="0.25">
      <c r="C358"/>
      <c r="D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</row>
    <row r="359" spans="1:21" x14ac:dyDescent="0.25">
      <c r="A359" s="48"/>
      <c r="C359"/>
      <c r="D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</row>
  </sheetData>
  <sortState xmlns:xlrd2="http://schemas.microsoft.com/office/spreadsheetml/2017/richdata2" ref="A230:AS236">
    <sortCondition ref="R230:R236"/>
  </sortState>
  <conditionalFormatting sqref="A3:Y100 A126:Y134 A142:Y150 A158:Y162 A170:Y172 A180:Y187 A195:Y199 A207:Y208 A216:Y222 A230:Y236 A244:Y245 A253:Y254 A262:Y262 A270:Y270 A278:Y278">
    <cfRule type="expression" dxfId="15" priority="39" stopIfTrue="1">
      <formula>MOD(ROW(),4)&gt;1</formula>
    </cfRule>
    <cfRule type="expression" dxfId="14" priority="40" stopIfTrue="1">
      <formula>MOD(ROW(),4)&lt;2</formula>
    </cfRule>
  </conditionalFormatting>
  <conditionalFormatting sqref="A109:Y118">
    <cfRule type="expression" dxfId="13" priority="29" stopIfTrue="1">
      <formula>MOD(ROW(),4)&gt;1</formula>
    </cfRule>
    <cfRule type="expression" dxfId="12" priority="30" stopIfTrue="1">
      <formula>MOD(ROW(),4)&lt;2</formula>
    </cfRule>
  </conditionalFormatting>
  <pageMargins left="0.7" right="0.7" top="0.75" bottom="0.75" header="0.3" footer="0.3"/>
  <pageSetup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F1AA1-4F9D-4398-8EEF-67B77A8B1D65}">
  <dimension ref="A1:AS192"/>
  <sheetViews>
    <sheetView topLeftCell="A126" workbookViewId="0">
      <selection activeCell="F135" sqref="F135"/>
    </sheetView>
  </sheetViews>
  <sheetFormatPr defaultRowHeight="15" x14ac:dyDescent="0.25"/>
  <cols>
    <col min="1" max="1" width="18.140625" bestFit="1" customWidth="1"/>
    <col min="2" max="2" width="26.5703125" bestFit="1" customWidth="1"/>
    <col min="3" max="3" width="9.28515625" style="24" bestFit="1" customWidth="1"/>
    <col min="4" max="4" width="11.85546875" style="14" bestFit="1" customWidth="1"/>
    <col min="5" max="5" width="5.5703125" bestFit="1" customWidth="1"/>
    <col min="6" max="6" width="38.42578125" bestFit="1" customWidth="1"/>
    <col min="7" max="7" width="11.85546875" style="14" bestFit="1" customWidth="1"/>
    <col min="8" max="8" width="12.7109375" style="14" bestFit="1" customWidth="1"/>
    <col min="9" max="9" width="12.85546875" style="19" bestFit="1" customWidth="1"/>
    <col min="10" max="10" width="13.42578125" style="14" bestFit="1" customWidth="1"/>
    <col min="11" max="11" width="13.28515625" style="14" bestFit="1" customWidth="1"/>
    <col min="12" max="12" width="14.42578125" style="14" bestFit="1" customWidth="1"/>
    <col min="13" max="13" width="11.140625" style="29" bestFit="1" customWidth="1"/>
    <col min="14" max="14" width="6.42578125" style="33" bestFit="1" customWidth="1"/>
    <col min="15" max="15" width="14.28515625" style="38" bestFit="1" customWidth="1"/>
    <col min="16" max="16" width="10.7109375" style="38" bestFit="1" customWidth="1"/>
    <col min="17" max="17" width="10" style="14" bestFit="1" customWidth="1"/>
    <col min="18" max="18" width="12" style="14" bestFit="1" customWidth="1"/>
    <col min="19" max="19" width="11.85546875" style="43" bestFit="1" customWidth="1"/>
    <col min="20" max="20" width="11.7109375" style="38" bestFit="1" customWidth="1"/>
    <col min="21" max="21" width="8.7109375" style="4" bestFit="1" customWidth="1"/>
    <col min="22" max="22" width="10.5703125" bestFit="1" customWidth="1"/>
    <col min="23" max="23" width="36.5703125" bestFit="1" customWidth="1"/>
    <col min="24" max="24" width="29" bestFit="1" customWidth="1"/>
    <col min="25" max="25" width="5.42578125" bestFit="1" customWidth="1"/>
  </cols>
  <sheetData>
    <row r="1" spans="1:45" x14ac:dyDescent="0.25">
      <c r="A1" s="48" t="s">
        <v>836</v>
      </c>
    </row>
    <row r="2" spans="1:45" x14ac:dyDescent="0.25">
      <c r="A2" s="1" t="s">
        <v>0</v>
      </c>
      <c r="B2" s="1" t="s">
        <v>1</v>
      </c>
      <c r="C2" s="23" t="s">
        <v>2</v>
      </c>
      <c r="D2" s="13" t="s">
        <v>3</v>
      </c>
      <c r="E2" s="1" t="s">
        <v>4</v>
      </c>
      <c r="F2" s="1" t="s">
        <v>5</v>
      </c>
      <c r="G2" s="13" t="s">
        <v>6</v>
      </c>
      <c r="H2" s="13" t="s">
        <v>7</v>
      </c>
      <c r="I2" s="18" t="s">
        <v>8</v>
      </c>
      <c r="J2" s="13" t="s">
        <v>9</v>
      </c>
      <c r="K2" s="13" t="s">
        <v>10</v>
      </c>
      <c r="L2" s="13" t="s">
        <v>11</v>
      </c>
      <c r="M2" s="28" t="s">
        <v>12</v>
      </c>
      <c r="N2" s="32" t="s">
        <v>13</v>
      </c>
      <c r="O2" s="37" t="s">
        <v>14</v>
      </c>
      <c r="P2" s="37" t="s">
        <v>15</v>
      </c>
      <c r="Q2" s="13" t="s">
        <v>16</v>
      </c>
      <c r="R2" s="13" t="s">
        <v>17</v>
      </c>
      <c r="S2" s="42" t="s">
        <v>18</v>
      </c>
      <c r="T2" s="37" t="s">
        <v>19</v>
      </c>
      <c r="U2" s="3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</row>
    <row r="3" spans="1:45" x14ac:dyDescent="0.25">
      <c r="A3" t="s">
        <v>207</v>
      </c>
      <c r="B3" t="s">
        <v>208</v>
      </c>
      <c r="C3" s="24">
        <v>45016</v>
      </c>
      <c r="D3" s="14">
        <v>305000</v>
      </c>
      <c r="E3" t="s">
        <v>27</v>
      </c>
      <c r="F3" t="s">
        <v>28</v>
      </c>
      <c r="G3" s="14">
        <v>305000</v>
      </c>
      <c r="H3" s="14">
        <v>162500</v>
      </c>
      <c r="I3" s="19">
        <f t="shared" ref="I3:I26" si="0">H3/G3*100</f>
        <v>53.278688524590166</v>
      </c>
      <c r="J3" s="14">
        <v>325071</v>
      </c>
      <c r="K3" s="14">
        <f>G3-263691</f>
        <v>41309</v>
      </c>
      <c r="L3" s="14">
        <v>61380</v>
      </c>
      <c r="M3" s="29">
        <v>0</v>
      </c>
      <c r="N3" s="33">
        <v>0</v>
      </c>
      <c r="O3" s="38">
        <v>0.99</v>
      </c>
      <c r="P3" s="38">
        <v>0.99</v>
      </c>
      <c r="Q3" s="14" t="e">
        <f t="shared" ref="Q3:Q26" si="1">K3/M3</f>
        <v>#DIV/0!</v>
      </c>
      <c r="R3" s="14">
        <f t="shared" ref="R3:R26" si="2">K3/O3</f>
        <v>41726.262626262629</v>
      </c>
      <c r="S3" s="43">
        <f t="shared" ref="S3:S26" si="3">K3/O3/43560</f>
        <v>0.95790318242108885</v>
      </c>
      <c r="T3" s="38">
        <v>0</v>
      </c>
      <c r="U3" s="5" t="s">
        <v>29</v>
      </c>
      <c r="V3" t="s">
        <v>209</v>
      </c>
      <c r="X3" t="s">
        <v>47</v>
      </c>
      <c r="Y3" s="6" t="s">
        <v>32</v>
      </c>
    </row>
    <row r="4" spans="1:45" x14ac:dyDescent="0.25">
      <c r="A4" t="s">
        <v>44</v>
      </c>
      <c r="B4" t="s">
        <v>45</v>
      </c>
      <c r="C4" s="24">
        <v>45142</v>
      </c>
      <c r="D4" s="14">
        <v>250000</v>
      </c>
      <c r="E4" t="s">
        <v>27</v>
      </c>
      <c r="F4" t="s">
        <v>28</v>
      </c>
      <c r="G4" s="14">
        <v>250000</v>
      </c>
      <c r="H4" s="14">
        <v>112800</v>
      </c>
      <c r="I4" s="19">
        <f t="shared" si="0"/>
        <v>45.12</v>
      </c>
      <c r="J4" s="14">
        <v>225507</v>
      </c>
      <c r="K4" s="14">
        <f>G4-163507</f>
        <v>86493</v>
      </c>
      <c r="L4" s="14">
        <v>62000</v>
      </c>
      <c r="M4" s="29">
        <v>0</v>
      </c>
      <c r="N4" s="33">
        <v>0</v>
      </c>
      <c r="O4" s="38">
        <v>1</v>
      </c>
      <c r="P4" s="38">
        <v>1</v>
      </c>
      <c r="Q4" s="14" t="e">
        <f t="shared" si="1"/>
        <v>#DIV/0!</v>
      </c>
      <c r="R4" s="14">
        <f t="shared" si="2"/>
        <v>86493</v>
      </c>
      <c r="S4" s="43">
        <f t="shared" si="3"/>
        <v>1.9856060606060606</v>
      </c>
      <c r="T4" s="38">
        <v>0</v>
      </c>
      <c r="U4" s="5" t="s">
        <v>29</v>
      </c>
      <c r="V4" t="s">
        <v>46</v>
      </c>
      <c r="X4" t="s">
        <v>47</v>
      </c>
      <c r="Y4" s="6" t="s">
        <v>32</v>
      </c>
    </row>
    <row r="5" spans="1:45" x14ac:dyDescent="0.25">
      <c r="A5" t="s">
        <v>95</v>
      </c>
      <c r="B5" t="s">
        <v>96</v>
      </c>
      <c r="C5" s="24">
        <v>45156</v>
      </c>
      <c r="D5" s="14">
        <v>395000</v>
      </c>
      <c r="E5" t="s">
        <v>27</v>
      </c>
      <c r="F5" t="s">
        <v>28</v>
      </c>
      <c r="G5" s="14">
        <v>395000</v>
      </c>
      <c r="H5" s="14">
        <v>201600</v>
      </c>
      <c r="I5" s="19">
        <f t="shared" si="0"/>
        <v>51.037974683544306</v>
      </c>
      <c r="J5" s="14">
        <v>403220</v>
      </c>
      <c r="K5" s="14">
        <f>G5-341220</f>
        <v>53780</v>
      </c>
      <c r="L5" s="14">
        <v>62000</v>
      </c>
      <c r="M5" s="29">
        <v>0</v>
      </c>
      <c r="N5" s="33">
        <v>0</v>
      </c>
      <c r="O5" s="38">
        <v>1</v>
      </c>
      <c r="P5" s="38">
        <v>1</v>
      </c>
      <c r="Q5" s="14" t="e">
        <f t="shared" si="1"/>
        <v>#DIV/0!</v>
      </c>
      <c r="R5" s="14">
        <f t="shared" si="2"/>
        <v>53780</v>
      </c>
      <c r="S5" s="43">
        <f t="shared" si="3"/>
        <v>1.2346189164370982</v>
      </c>
      <c r="T5" s="38">
        <v>0</v>
      </c>
      <c r="U5" s="5" t="s">
        <v>29</v>
      </c>
      <c r="V5" t="s">
        <v>97</v>
      </c>
      <c r="X5" t="s">
        <v>47</v>
      </c>
      <c r="Y5" s="6" t="s">
        <v>32</v>
      </c>
    </row>
    <row r="6" spans="1:45" x14ac:dyDescent="0.25">
      <c r="A6" t="s">
        <v>92</v>
      </c>
      <c r="B6" t="s">
        <v>93</v>
      </c>
      <c r="C6" s="24">
        <v>44785</v>
      </c>
      <c r="D6" s="14">
        <v>340000</v>
      </c>
      <c r="E6" t="s">
        <v>27</v>
      </c>
      <c r="F6" t="s">
        <v>28</v>
      </c>
      <c r="G6" s="14">
        <v>340000</v>
      </c>
      <c r="H6" s="14">
        <v>123600</v>
      </c>
      <c r="I6" s="19">
        <f t="shared" si="0"/>
        <v>36.352941176470587</v>
      </c>
      <c r="J6" s="14">
        <v>247213</v>
      </c>
      <c r="K6" s="14">
        <f>G6-182013</f>
        <v>157987</v>
      </c>
      <c r="L6" s="14">
        <v>65200</v>
      </c>
      <c r="M6" s="29">
        <v>0</v>
      </c>
      <c r="N6" s="33">
        <v>0</v>
      </c>
      <c r="O6" s="38">
        <v>1.1000000000000001</v>
      </c>
      <c r="P6" s="38">
        <v>1.1000000000000001</v>
      </c>
      <c r="Q6" s="14" t="e">
        <f t="shared" si="1"/>
        <v>#DIV/0!</v>
      </c>
      <c r="R6" s="14">
        <f t="shared" si="2"/>
        <v>143624.54545454544</v>
      </c>
      <c r="S6" s="43">
        <f t="shared" si="3"/>
        <v>3.2971658736121543</v>
      </c>
      <c r="T6" s="38">
        <v>0</v>
      </c>
      <c r="U6" s="5" t="s">
        <v>29</v>
      </c>
      <c r="V6" t="s">
        <v>94</v>
      </c>
      <c r="X6" t="s">
        <v>47</v>
      </c>
      <c r="Y6" s="6" t="s">
        <v>32</v>
      </c>
    </row>
    <row r="7" spans="1:45" x14ac:dyDescent="0.25">
      <c r="A7" t="s">
        <v>229</v>
      </c>
      <c r="B7" t="s">
        <v>230</v>
      </c>
      <c r="C7" s="24">
        <v>45037</v>
      </c>
      <c r="D7" s="14">
        <v>390000</v>
      </c>
      <c r="E7" t="s">
        <v>27</v>
      </c>
      <c r="F7" t="s">
        <v>28</v>
      </c>
      <c r="G7" s="14">
        <v>390000</v>
      </c>
      <c r="H7" s="14">
        <v>147300</v>
      </c>
      <c r="I7" s="19">
        <f t="shared" si="0"/>
        <v>37.769230769230774</v>
      </c>
      <c r="J7" s="14">
        <v>294564</v>
      </c>
      <c r="K7" s="14">
        <f>G7-226164</f>
        <v>163836</v>
      </c>
      <c r="L7" s="14">
        <v>68400</v>
      </c>
      <c r="M7" s="29">
        <v>0</v>
      </c>
      <c r="N7" s="33">
        <v>0</v>
      </c>
      <c r="O7" s="38">
        <v>1.2</v>
      </c>
      <c r="P7" s="38">
        <v>1.2</v>
      </c>
      <c r="Q7" s="14" t="e">
        <f t="shared" si="1"/>
        <v>#DIV/0!</v>
      </c>
      <c r="R7" s="14">
        <f t="shared" si="2"/>
        <v>136530</v>
      </c>
      <c r="S7" s="43">
        <f t="shared" si="3"/>
        <v>3.134297520661157</v>
      </c>
      <c r="T7" s="38">
        <v>0</v>
      </c>
      <c r="U7" s="5" t="s">
        <v>29</v>
      </c>
      <c r="V7" t="s">
        <v>232</v>
      </c>
      <c r="X7" t="s">
        <v>47</v>
      </c>
      <c r="Y7" s="6" t="s">
        <v>32</v>
      </c>
    </row>
    <row r="8" spans="1:45" x14ac:dyDescent="0.25">
      <c r="A8" t="s">
        <v>229</v>
      </c>
      <c r="B8" t="s">
        <v>230</v>
      </c>
      <c r="C8" s="24">
        <v>44839</v>
      </c>
      <c r="D8" s="14">
        <v>275000</v>
      </c>
      <c r="E8" t="s">
        <v>27</v>
      </c>
      <c r="F8" t="s">
        <v>28</v>
      </c>
      <c r="G8" s="14">
        <v>275000</v>
      </c>
      <c r="H8" s="14">
        <v>147300</v>
      </c>
      <c r="I8" s="19">
        <f t="shared" si="0"/>
        <v>53.56363636363637</v>
      </c>
      <c r="J8" s="14">
        <v>294564</v>
      </c>
      <c r="K8" s="14">
        <f>G8-226164</f>
        <v>48836</v>
      </c>
      <c r="L8" s="14">
        <v>68400</v>
      </c>
      <c r="M8" s="29">
        <v>0</v>
      </c>
      <c r="N8" s="33">
        <v>0</v>
      </c>
      <c r="O8" s="38">
        <v>1.2</v>
      </c>
      <c r="P8" s="38">
        <v>1.2</v>
      </c>
      <c r="Q8" s="14" t="e">
        <f t="shared" si="1"/>
        <v>#DIV/0!</v>
      </c>
      <c r="R8" s="14">
        <f t="shared" si="2"/>
        <v>40696.666666666672</v>
      </c>
      <c r="S8" s="43">
        <f t="shared" si="3"/>
        <v>0.93426691153963892</v>
      </c>
      <c r="T8" s="38">
        <v>0</v>
      </c>
      <c r="U8" s="5" t="s">
        <v>29</v>
      </c>
      <c r="V8" t="s">
        <v>231</v>
      </c>
      <c r="X8" t="s">
        <v>47</v>
      </c>
      <c r="Y8" s="6" t="s">
        <v>32</v>
      </c>
    </row>
    <row r="9" spans="1:45" x14ac:dyDescent="0.25">
      <c r="A9" t="s">
        <v>129</v>
      </c>
      <c r="B9" t="s">
        <v>130</v>
      </c>
      <c r="C9" s="24">
        <v>44610</v>
      </c>
      <c r="D9" s="14">
        <v>55000</v>
      </c>
      <c r="E9" t="s">
        <v>27</v>
      </c>
      <c r="F9" t="s">
        <v>28</v>
      </c>
      <c r="G9" s="14">
        <v>55000</v>
      </c>
      <c r="H9" s="14">
        <v>17500</v>
      </c>
      <c r="I9" s="19">
        <f t="shared" si="0"/>
        <v>31.818181818181817</v>
      </c>
      <c r="J9" s="14">
        <v>35000</v>
      </c>
      <c r="K9" s="14">
        <f>G9-0</f>
        <v>55000</v>
      </c>
      <c r="L9" s="14">
        <v>35000</v>
      </c>
      <c r="M9" s="29">
        <v>0</v>
      </c>
      <c r="N9" s="33">
        <v>0</v>
      </c>
      <c r="O9" s="38">
        <v>1.25</v>
      </c>
      <c r="P9" s="38">
        <v>1.25</v>
      </c>
      <c r="Q9" s="14" t="e">
        <f t="shared" si="1"/>
        <v>#DIV/0!</v>
      </c>
      <c r="R9" s="14">
        <f t="shared" si="2"/>
        <v>44000</v>
      </c>
      <c r="S9" s="43">
        <f t="shared" si="3"/>
        <v>1.0101010101010102</v>
      </c>
      <c r="T9" s="38">
        <v>0</v>
      </c>
      <c r="U9" s="5" t="s">
        <v>29</v>
      </c>
      <c r="V9" t="s">
        <v>131</v>
      </c>
      <c r="X9" t="s">
        <v>47</v>
      </c>
      <c r="Y9" s="6" t="s">
        <v>113</v>
      </c>
    </row>
    <row r="10" spans="1:45" x14ac:dyDescent="0.25">
      <c r="A10" t="s">
        <v>233</v>
      </c>
      <c r="B10" t="s">
        <v>234</v>
      </c>
      <c r="C10" s="24">
        <v>44404</v>
      </c>
      <c r="D10" s="14">
        <v>425000</v>
      </c>
      <c r="E10" t="s">
        <v>27</v>
      </c>
      <c r="F10" t="s">
        <v>28</v>
      </c>
      <c r="G10" s="14">
        <v>425000</v>
      </c>
      <c r="H10" s="14">
        <v>171800</v>
      </c>
      <c r="I10" s="19">
        <f t="shared" si="0"/>
        <v>40.423529411764711</v>
      </c>
      <c r="J10" s="14">
        <v>343622</v>
      </c>
      <c r="K10" s="14">
        <f>G10-271062</f>
        <v>153938</v>
      </c>
      <c r="L10" s="14">
        <v>72560</v>
      </c>
      <c r="M10" s="29">
        <v>0</v>
      </c>
      <c r="N10" s="33">
        <v>0</v>
      </c>
      <c r="O10" s="38">
        <v>1.33</v>
      </c>
      <c r="P10" s="38">
        <v>1.33</v>
      </c>
      <c r="Q10" s="14" t="e">
        <f t="shared" si="1"/>
        <v>#DIV/0!</v>
      </c>
      <c r="R10" s="14">
        <f t="shared" si="2"/>
        <v>115742.85714285713</v>
      </c>
      <c r="S10" s="43">
        <f t="shared" si="3"/>
        <v>2.6570903843631113</v>
      </c>
      <c r="T10" s="38">
        <v>0</v>
      </c>
      <c r="U10" s="5" t="s">
        <v>29</v>
      </c>
      <c r="V10" t="s">
        <v>235</v>
      </c>
      <c r="X10" t="s">
        <v>47</v>
      </c>
      <c r="Y10" s="6" t="s">
        <v>32</v>
      </c>
    </row>
    <row r="11" spans="1:45" x14ac:dyDescent="0.25">
      <c r="A11" t="s">
        <v>213</v>
      </c>
      <c r="B11" t="s">
        <v>214</v>
      </c>
      <c r="C11" s="24">
        <v>45008</v>
      </c>
      <c r="D11" s="14">
        <v>130000</v>
      </c>
      <c r="E11" t="s">
        <v>27</v>
      </c>
      <c r="F11" t="s">
        <v>28</v>
      </c>
      <c r="G11" s="14">
        <v>130000</v>
      </c>
      <c r="H11" s="14">
        <v>75100</v>
      </c>
      <c r="I11" s="19">
        <f t="shared" si="0"/>
        <v>57.769230769230774</v>
      </c>
      <c r="J11" s="14">
        <v>150240</v>
      </c>
      <c r="K11" s="14">
        <f>G11-0</f>
        <v>130000</v>
      </c>
      <c r="L11" s="14">
        <v>150240</v>
      </c>
      <c r="M11" s="29">
        <v>0</v>
      </c>
      <c r="N11" s="33">
        <v>0</v>
      </c>
      <c r="O11" s="38">
        <v>1.41</v>
      </c>
      <c r="P11" s="38">
        <v>1.41</v>
      </c>
      <c r="Q11" s="14" t="e">
        <f t="shared" si="1"/>
        <v>#DIV/0!</v>
      </c>
      <c r="R11" s="14">
        <f t="shared" si="2"/>
        <v>92198.581560283696</v>
      </c>
      <c r="S11" s="43">
        <f t="shared" si="3"/>
        <v>2.1165881900891574</v>
      </c>
      <c r="T11" s="38">
        <v>0</v>
      </c>
      <c r="U11" s="5" t="s">
        <v>29</v>
      </c>
      <c r="V11" t="s">
        <v>215</v>
      </c>
      <c r="X11" t="s">
        <v>47</v>
      </c>
      <c r="Y11" s="6" t="s">
        <v>113</v>
      </c>
    </row>
    <row r="12" spans="1:45" x14ac:dyDescent="0.25">
      <c r="A12" t="s">
        <v>222</v>
      </c>
      <c r="B12" t="s">
        <v>223</v>
      </c>
      <c r="C12" s="24">
        <v>44377</v>
      </c>
      <c r="D12" s="14">
        <v>331100</v>
      </c>
      <c r="E12" t="s">
        <v>27</v>
      </c>
      <c r="F12" t="s">
        <v>28</v>
      </c>
      <c r="G12" s="14">
        <v>331100</v>
      </c>
      <c r="H12" s="14">
        <v>158000</v>
      </c>
      <c r="I12" s="19">
        <f t="shared" si="0"/>
        <v>47.719722138326794</v>
      </c>
      <c r="J12" s="14">
        <v>315935</v>
      </c>
      <c r="K12" s="14">
        <f>G12-194435</f>
        <v>136665</v>
      </c>
      <c r="L12" s="14">
        <v>121500</v>
      </c>
      <c r="M12" s="29">
        <v>0</v>
      </c>
      <c r="N12" s="33">
        <v>0</v>
      </c>
      <c r="O12" s="38">
        <v>1.7</v>
      </c>
      <c r="P12" s="38">
        <v>1.7</v>
      </c>
      <c r="Q12" s="14" t="e">
        <f t="shared" si="1"/>
        <v>#DIV/0!</v>
      </c>
      <c r="R12" s="14">
        <f t="shared" si="2"/>
        <v>80391.176470588238</v>
      </c>
      <c r="S12" s="43">
        <f t="shared" si="3"/>
        <v>1.8455274671852213</v>
      </c>
      <c r="T12" s="38">
        <v>0</v>
      </c>
      <c r="U12" s="5" t="s">
        <v>29</v>
      </c>
      <c r="V12" t="s">
        <v>224</v>
      </c>
      <c r="X12" t="s">
        <v>47</v>
      </c>
      <c r="Y12" s="6" t="s">
        <v>32</v>
      </c>
    </row>
    <row r="13" spans="1:45" x14ac:dyDescent="0.25">
      <c r="A13" t="s">
        <v>565</v>
      </c>
      <c r="B13" t="s">
        <v>566</v>
      </c>
      <c r="C13" s="24">
        <v>45170</v>
      </c>
      <c r="D13" s="14">
        <v>242500</v>
      </c>
      <c r="E13" t="s">
        <v>27</v>
      </c>
      <c r="F13" t="s">
        <v>42</v>
      </c>
      <c r="G13" s="14">
        <v>242500</v>
      </c>
      <c r="H13" s="14">
        <v>106500</v>
      </c>
      <c r="I13" s="19">
        <f t="shared" si="0"/>
        <v>43.917525773195877</v>
      </c>
      <c r="J13" s="14">
        <v>232478</v>
      </c>
      <c r="K13" s="14">
        <f>G13-131318</f>
        <v>111182</v>
      </c>
      <c r="L13" s="14">
        <v>81580</v>
      </c>
      <c r="M13" s="29">
        <v>0</v>
      </c>
      <c r="N13" s="33">
        <v>0</v>
      </c>
      <c r="O13" s="38">
        <v>1.89</v>
      </c>
      <c r="P13" s="38">
        <v>1</v>
      </c>
      <c r="Q13" s="14" t="e">
        <f t="shared" si="1"/>
        <v>#DIV/0!</v>
      </c>
      <c r="R13" s="14">
        <f t="shared" si="2"/>
        <v>58826.455026455027</v>
      </c>
      <c r="S13" s="43">
        <f t="shared" si="3"/>
        <v>1.350469582792815</v>
      </c>
      <c r="T13" s="38">
        <v>0</v>
      </c>
      <c r="U13" s="5" t="s">
        <v>29</v>
      </c>
      <c r="V13" t="s">
        <v>567</v>
      </c>
      <c r="W13" t="s">
        <v>568</v>
      </c>
      <c r="X13" t="s">
        <v>47</v>
      </c>
      <c r="Y13" s="6" t="s">
        <v>32</v>
      </c>
    </row>
    <row r="14" spans="1:45" x14ac:dyDescent="0.25">
      <c r="A14" t="s">
        <v>132</v>
      </c>
      <c r="B14" t="s">
        <v>133</v>
      </c>
      <c r="C14" s="24">
        <v>45160</v>
      </c>
      <c r="D14" s="14">
        <v>250000</v>
      </c>
      <c r="E14" t="s">
        <v>27</v>
      </c>
      <c r="F14" t="s">
        <v>28</v>
      </c>
      <c r="G14" s="14">
        <v>250000</v>
      </c>
      <c r="H14" s="14">
        <v>132100</v>
      </c>
      <c r="I14" s="19">
        <f t="shared" si="0"/>
        <v>52.839999999999996</v>
      </c>
      <c r="J14" s="14">
        <v>264126</v>
      </c>
      <c r="K14" s="14">
        <f>G14-85626</f>
        <v>164374</v>
      </c>
      <c r="L14" s="14">
        <v>178500</v>
      </c>
      <c r="M14" s="29">
        <v>0</v>
      </c>
      <c r="N14" s="33">
        <v>0</v>
      </c>
      <c r="O14" s="38">
        <v>2.7</v>
      </c>
      <c r="P14" s="38">
        <v>2.7</v>
      </c>
      <c r="Q14" s="14" t="e">
        <f t="shared" si="1"/>
        <v>#DIV/0!</v>
      </c>
      <c r="R14" s="14">
        <f t="shared" si="2"/>
        <v>60879.259259259255</v>
      </c>
      <c r="S14" s="43">
        <f t="shared" si="3"/>
        <v>1.3975954834540691</v>
      </c>
      <c r="T14" s="38">
        <v>0</v>
      </c>
      <c r="U14" s="5" t="s">
        <v>29</v>
      </c>
      <c r="V14" t="s">
        <v>134</v>
      </c>
      <c r="X14" t="s">
        <v>47</v>
      </c>
      <c r="Y14" s="6" t="s">
        <v>32</v>
      </c>
    </row>
    <row r="15" spans="1:45" x14ac:dyDescent="0.25">
      <c r="A15" t="s">
        <v>225</v>
      </c>
      <c r="B15" t="s">
        <v>226</v>
      </c>
      <c r="C15" s="24">
        <v>44397</v>
      </c>
      <c r="D15" s="14">
        <v>135000</v>
      </c>
      <c r="E15" t="s">
        <v>27</v>
      </c>
      <c r="F15" t="s">
        <v>42</v>
      </c>
      <c r="G15" s="14">
        <v>135000</v>
      </c>
      <c r="H15" s="14">
        <v>67200</v>
      </c>
      <c r="I15" s="19">
        <f t="shared" si="0"/>
        <v>49.777777777777779</v>
      </c>
      <c r="J15" s="14">
        <v>185400</v>
      </c>
      <c r="K15" s="14">
        <f>G15-0</f>
        <v>135000</v>
      </c>
      <c r="L15" s="14">
        <v>134250</v>
      </c>
      <c r="M15" s="29">
        <v>0</v>
      </c>
      <c r="N15" s="33">
        <v>0</v>
      </c>
      <c r="O15" s="38">
        <v>3.1</v>
      </c>
      <c r="P15" s="38">
        <v>1.84</v>
      </c>
      <c r="Q15" s="14" t="e">
        <f t="shared" si="1"/>
        <v>#DIV/0!</v>
      </c>
      <c r="R15" s="14">
        <f t="shared" si="2"/>
        <v>43548.38709677419</v>
      </c>
      <c r="S15" s="43">
        <f t="shared" si="3"/>
        <v>0.99973340442548642</v>
      </c>
      <c r="T15" s="38">
        <v>0</v>
      </c>
      <c r="U15" s="5" t="s">
        <v>29</v>
      </c>
      <c r="V15" t="s">
        <v>227</v>
      </c>
      <c r="W15" t="s">
        <v>228</v>
      </c>
      <c r="X15" t="s">
        <v>47</v>
      </c>
      <c r="Y15" s="6" t="s">
        <v>32</v>
      </c>
    </row>
    <row r="16" spans="1:45" x14ac:dyDescent="0.25">
      <c r="A16" t="s">
        <v>236</v>
      </c>
      <c r="B16" t="s">
        <v>237</v>
      </c>
      <c r="C16" s="24">
        <v>44713</v>
      </c>
      <c r="D16" s="14">
        <v>478750</v>
      </c>
      <c r="E16" t="s">
        <v>27</v>
      </c>
      <c r="F16" t="s">
        <v>28</v>
      </c>
      <c r="G16" s="14">
        <v>478750</v>
      </c>
      <c r="H16" s="14">
        <v>170800</v>
      </c>
      <c r="I16" s="19">
        <f t="shared" si="0"/>
        <v>35.676240208877289</v>
      </c>
      <c r="J16" s="14">
        <v>341554</v>
      </c>
      <c r="K16" s="14">
        <f>G16-249634</f>
        <v>229116</v>
      </c>
      <c r="L16" s="14">
        <v>91920</v>
      </c>
      <c r="M16" s="29">
        <v>0</v>
      </c>
      <c r="N16" s="33">
        <v>0</v>
      </c>
      <c r="O16" s="38">
        <v>3.48</v>
      </c>
      <c r="P16" s="38">
        <v>3.48</v>
      </c>
      <c r="Q16" s="14" t="e">
        <f t="shared" si="1"/>
        <v>#DIV/0!</v>
      </c>
      <c r="R16" s="14">
        <f t="shared" si="2"/>
        <v>65837.931034482754</v>
      </c>
      <c r="S16" s="43">
        <f t="shared" si="3"/>
        <v>1.5114309236566288</v>
      </c>
      <c r="T16" s="38">
        <v>0</v>
      </c>
      <c r="U16" s="5" t="s">
        <v>29</v>
      </c>
      <c r="V16" t="s">
        <v>238</v>
      </c>
      <c r="X16" t="s">
        <v>47</v>
      </c>
      <c r="Y16" s="6" t="s">
        <v>32</v>
      </c>
    </row>
    <row r="17" spans="1:25" x14ac:dyDescent="0.25">
      <c r="A17" t="s">
        <v>690</v>
      </c>
      <c r="B17" t="s">
        <v>691</v>
      </c>
      <c r="C17" s="24">
        <v>44365</v>
      </c>
      <c r="D17" s="14">
        <v>500000</v>
      </c>
      <c r="E17" t="s">
        <v>27</v>
      </c>
      <c r="F17" t="s">
        <v>28</v>
      </c>
      <c r="G17" s="14">
        <v>500000</v>
      </c>
      <c r="H17" s="14">
        <v>153600</v>
      </c>
      <c r="I17" s="19">
        <f t="shared" si="0"/>
        <v>30.72</v>
      </c>
      <c r="J17" s="14">
        <v>307277</v>
      </c>
      <c r="K17" s="14">
        <f>G17-199310</f>
        <v>300690</v>
      </c>
      <c r="L17" s="14">
        <v>107967</v>
      </c>
      <c r="M17" s="29">
        <v>0</v>
      </c>
      <c r="N17" s="33">
        <v>0</v>
      </c>
      <c r="O17" s="38">
        <v>8.7799999999999994</v>
      </c>
      <c r="P17" s="38">
        <v>8.7799999999999994</v>
      </c>
      <c r="Q17" s="14" t="e">
        <f t="shared" si="1"/>
        <v>#DIV/0!</v>
      </c>
      <c r="R17" s="14">
        <f t="shared" si="2"/>
        <v>34247.152619589979</v>
      </c>
      <c r="S17" s="43">
        <f t="shared" si="3"/>
        <v>0.78620644213934754</v>
      </c>
      <c r="T17" s="38">
        <v>0</v>
      </c>
      <c r="U17" s="5" t="s">
        <v>615</v>
      </c>
      <c r="V17" t="s">
        <v>692</v>
      </c>
      <c r="X17" t="s">
        <v>670</v>
      </c>
      <c r="Y17" s="6" t="s">
        <v>32</v>
      </c>
    </row>
    <row r="18" spans="1:25" x14ac:dyDescent="0.25">
      <c r="A18" t="s">
        <v>686</v>
      </c>
      <c r="B18" t="s">
        <v>687</v>
      </c>
      <c r="C18" s="24">
        <v>45069</v>
      </c>
      <c r="D18" s="14">
        <v>252500</v>
      </c>
      <c r="E18" t="s">
        <v>27</v>
      </c>
      <c r="F18" t="s">
        <v>28</v>
      </c>
      <c r="G18" s="14">
        <v>252500</v>
      </c>
      <c r="H18" s="14">
        <v>65100</v>
      </c>
      <c r="I18" s="19">
        <f t="shared" si="0"/>
        <v>25.782178217821784</v>
      </c>
      <c r="J18" s="14">
        <v>130217</v>
      </c>
      <c r="K18" s="14">
        <f>G18-106457</f>
        <v>146043</v>
      </c>
      <c r="L18" s="14">
        <v>23760</v>
      </c>
      <c r="M18" s="29">
        <v>0</v>
      </c>
      <c r="N18" s="33">
        <v>0</v>
      </c>
      <c r="O18" s="38">
        <v>0.54</v>
      </c>
      <c r="P18" s="38">
        <v>0.54</v>
      </c>
      <c r="Q18" s="14" t="e">
        <f t="shared" si="1"/>
        <v>#DIV/0!</v>
      </c>
      <c r="R18" s="14">
        <f t="shared" si="2"/>
        <v>270450</v>
      </c>
      <c r="S18" s="43">
        <f t="shared" si="3"/>
        <v>6.2086776859504136</v>
      </c>
      <c r="T18" s="38">
        <v>0</v>
      </c>
      <c r="U18" s="5" t="s">
        <v>615</v>
      </c>
      <c r="V18" t="s">
        <v>689</v>
      </c>
      <c r="X18" t="s">
        <v>617</v>
      </c>
      <c r="Y18" s="6" t="s">
        <v>32</v>
      </c>
    </row>
    <row r="19" spans="1:25" x14ac:dyDescent="0.25">
      <c r="A19" t="s">
        <v>686</v>
      </c>
      <c r="B19" t="s">
        <v>687</v>
      </c>
      <c r="C19" s="24">
        <v>44306</v>
      </c>
      <c r="D19" s="14">
        <v>210000</v>
      </c>
      <c r="E19" t="s">
        <v>27</v>
      </c>
      <c r="F19" t="s">
        <v>28</v>
      </c>
      <c r="G19" s="14">
        <v>210000</v>
      </c>
      <c r="H19" s="14">
        <v>65100</v>
      </c>
      <c r="I19" s="19">
        <f t="shared" si="0"/>
        <v>31</v>
      </c>
      <c r="J19" s="14">
        <v>130217</v>
      </c>
      <c r="K19" s="14">
        <f>G19-106457</f>
        <v>103543</v>
      </c>
      <c r="L19" s="14">
        <v>23760</v>
      </c>
      <c r="M19" s="29">
        <v>0</v>
      </c>
      <c r="N19" s="33">
        <v>0</v>
      </c>
      <c r="O19" s="38">
        <v>0.54</v>
      </c>
      <c r="P19" s="38">
        <v>0.54</v>
      </c>
      <c r="Q19" s="14" t="e">
        <f t="shared" si="1"/>
        <v>#DIV/0!</v>
      </c>
      <c r="R19" s="14">
        <f t="shared" si="2"/>
        <v>191746.29629629629</v>
      </c>
      <c r="S19" s="43">
        <f t="shared" si="3"/>
        <v>4.4018892630003741</v>
      </c>
      <c r="T19" s="38">
        <v>0</v>
      </c>
      <c r="U19" s="5" t="s">
        <v>615</v>
      </c>
      <c r="V19" t="s">
        <v>688</v>
      </c>
      <c r="X19" t="s">
        <v>617</v>
      </c>
      <c r="Y19" s="6" t="s">
        <v>32</v>
      </c>
    </row>
    <row r="20" spans="1:25" x14ac:dyDescent="0.25">
      <c r="A20" t="s">
        <v>613</v>
      </c>
      <c r="B20" t="s">
        <v>614</v>
      </c>
      <c r="C20" s="24">
        <v>44421</v>
      </c>
      <c r="D20" s="14">
        <v>240000</v>
      </c>
      <c r="E20" t="s">
        <v>27</v>
      </c>
      <c r="F20" t="s">
        <v>28</v>
      </c>
      <c r="G20" s="14">
        <v>240000</v>
      </c>
      <c r="H20" s="14">
        <v>114900</v>
      </c>
      <c r="I20" s="19">
        <f t="shared" si="0"/>
        <v>47.875</v>
      </c>
      <c r="J20" s="14">
        <v>229805</v>
      </c>
      <c r="K20" s="14">
        <f>G20-201645</f>
        <v>38355</v>
      </c>
      <c r="L20" s="14">
        <v>28160</v>
      </c>
      <c r="M20" s="29">
        <v>0</v>
      </c>
      <c r="N20" s="33">
        <v>0</v>
      </c>
      <c r="O20" s="38">
        <v>0.64</v>
      </c>
      <c r="P20" s="38">
        <v>0.64</v>
      </c>
      <c r="Q20" s="14" t="e">
        <f t="shared" si="1"/>
        <v>#DIV/0!</v>
      </c>
      <c r="R20" s="14">
        <f t="shared" si="2"/>
        <v>59929.6875</v>
      </c>
      <c r="S20" s="43">
        <f t="shared" si="3"/>
        <v>1.3757963154269972</v>
      </c>
      <c r="T20" s="38">
        <v>0</v>
      </c>
      <c r="U20" s="5" t="s">
        <v>615</v>
      </c>
      <c r="V20" t="s">
        <v>616</v>
      </c>
      <c r="X20" t="s">
        <v>617</v>
      </c>
      <c r="Y20" s="6" t="s">
        <v>32</v>
      </c>
    </row>
    <row r="21" spans="1:25" x14ac:dyDescent="0.25">
      <c r="A21" t="s">
        <v>674</v>
      </c>
      <c r="B21" t="s">
        <v>675</v>
      </c>
      <c r="C21" s="24">
        <v>44533</v>
      </c>
      <c r="D21" s="14">
        <v>240000</v>
      </c>
      <c r="E21" t="s">
        <v>27</v>
      </c>
      <c r="F21" t="s">
        <v>28</v>
      </c>
      <c r="G21" s="14">
        <v>240000</v>
      </c>
      <c r="H21" s="14">
        <v>129600</v>
      </c>
      <c r="I21" s="19">
        <f t="shared" si="0"/>
        <v>54</v>
      </c>
      <c r="J21" s="14">
        <v>259163</v>
      </c>
      <c r="K21" s="14">
        <f>G21-224843</f>
        <v>15157</v>
      </c>
      <c r="L21" s="14">
        <v>34320</v>
      </c>
      <c r="M21" s="29">
        <v>0</v>
      </c>
      <c r="N21" s="33">
        <v>0</v>
      </c>
      <c r="O21" s="38">
        <v>0.78</v>
      </c>
      <c r="P21" s="38">
        <v>0.78</v>
      </c>
      <c r="Q21" s="14" t="e">
        <f t="shared" si="1"/>
        <v>#DIV/0!</v>
      </c>
      <c r="R21" s="14">
        <f t="shared" si="2"/>
        <v>19432.051282051281</v>
      </c>
      <c r="S21" s="43">
        <f t="shared" si="3"/>
        <v>0.44609851428033243</v>
      </c>
      <c r="T21" s="38">
        <v>0</v>
      </c>
      <c r="U21" s="5" t="s">
        <v>615</v>
      </c>
      <c r="V21" t="s">
        <v>676</v>
      </c>
      <c r="X21" t="s">
        <v>617</v>
      </c>
      <c r="Y21" s="6" t="s">
        <v>32</v>
      </c>
    </row>
    <row r="22" spans="1:25" x14ac:dyDescent="0.25">
      <c r="A22" t="s">
        <v>677</v>
      </c>
      <c r="B22" t="s">
        <v>678</v>
      </c>
      <c r="C22" s="24">
        <v>44883</v>
      </c>
      <c r="D22" s="14">
        <v>184000</v>
      </c>
      <c r="E22" t="s">
        <v>27</v>
      </c>
      <c r="F22" t="s">
        <v>28</v>
      </c>
      <c r="G22" s="14">
        <v>184000</v>
      </c>
      <c r="H22" s="14">
        <v>78800</v>
      </c>
      <c r="I22" s="19">
        <f t="shared" si="0"/>
        <v>42.826086956521742</v>
      </c>
      <c r="J22" s="14">
        <v>157607</v>
      </c>
      <c r="K22" s="14">
        <f>G22-114487</f>
        <v>69513</v>
      </c>
      <c r="L22" s="14">
        <v>43120</v>
      </c>
      <c r="M22" s="29">
        <v>0</v>
      </c>
      <c r="N22" s="33">
        <v>0</v>
      </c>
      <c r="O22" s="38">
        <v>0.98</v>
      </c>
      <c r="P22" s="38">
        <v>0.98</v>
      </c>
      <c r="Q22" s="14" t="e">
        <f t="shared" si="1"/>
        <v>#DIV/0!</v>
      </c>
      <c r="R22" s="14">
        <f t="shared" si="2"/>
        <v>70931.632653061228</v>
      </c>
      <c r="S22" s="43">
        <f t="shared" si="3"/>
        <v>1.6283662225220668</v>
      </c>
      <c r="T22" s="38">
        <v>0</v>
      </c>
      <c r="U22" s="5" t="s">
        <v>615</v>
      </c>
      <c r="V22" t="s">
        <v>679</v>
      </c>
      <c r="X22" t="s">
        <v>617</v>
      </c>
      <c r="Y22" s="6" t="s">
        <v>32</v>
      </c>
    </row>
    <row r="23" spans="1:25" x14ac:dyDescent="0.25">
      <c r="A23" t="s">
        <v>709</v>
      </c>
      <c r="B23" t="s">
        <v>710</v>
      </c>
      <c r="C23" s="24">
        <v>44397</v>
      </c>
      <c r="D23" s="14">
        <v>80000</v>
      </c>
      <c r="E23" t="s">
        <v>711</v>
      </c>
      <c r="F23" t="s">
        <v>28</v>
      </c>
      <c r="G23" s="14">
        <v>80000</v>
      </c>
      <c r="H23" s="14">
        <v>23500</v>
      </c>
      <c r="I23" s="19">
        <f t="shared" si="0"/>
        <v>29.375</v>
      </c>
      <c r="J23" s="14">
        <v>47025</v>
      </c>
      <c r="K23" s="14">
        <f>G23-0</f>
        <v>80000</v>
      </c>
      <c r="L23" s="14">
        <v>47025</v>
      </c>
      <c r="M23" s="29">
        <v>0</v>
      </c>
      <c r="N23" s="33">
        <v>0</v>
      </c>
      <c r="O23" s="38">
        <v>1.1100000000000001</v>
      </c>
      <c r="P23" s="38">
        <v>1.1100000000000001</v>
      </c>
      <c r="Q23" s="14" t="e">
        <f t="shared" si="1"/>
        <v>#DIV/0!</v>
      </c>
      <c r="R23" s="14">
        <f t="shared" si="2"/>
        <v>72072.072072072071</v>
      </c>
      <c r="S23" s="43">
        <f t="shared" si="3"/>
        <v>1.6545471090925636</v>
      </c>
      <c r="T23" s="38">
        <v>0</v>
      </c>
      <c r="U23" s="5" t="s">
        <v>615</v>
      </c>
      <c r="V23" t="s">
        <v>712</v>
      </c>
      <c r="X23" t="s">
        <v>617</v>
      </c>
      <c r="Y23" s="6" t="s">
        <v>113</v>
      </c>
    </row>
    <row r="24" spans="1:25" x14ac:dyDescent="0.25">
      <c r="A24" t="s">
        <v>680</v>
      </c>
      <c r="B24" t="s">
        <v>681</v>
      </c>
      <c r="C24" s="24">
        <v>44854</v>
      </c>
      <c r="D24" s="14">
        <v>240000</v>
      </c>
      <c r="E24" t="s">
        <v>27</v>
      </c>
      <c r="F24" t="s">
        <v>28</v>
      </c>
      <c r="G24" s="14">
        <v>240000</v>
      </c>
      <c r="H24" s="14">
        <v>89400</v>
      </c>
      <c r="I24" s="19">
        <f t="shared" si="0"/>
        <v>37.25</v>
      </c>
      <c r="J24" s="14">
        <v>178722</v>
      </c>
      <c r="K24" s="14">
        <f>G24-125647</f>
        <v>114353</v>
      </c>
      <c r="L24" s="14">
        <v>53075</v>
      </c>
      <c r="M24" s="29">
        <v>0</v>
      </c>
      <c r="N24" s="33">
        <v>0</v>
      </c>
      <c r="O24" s="38">
        <v>1.33</v>
      </c>
      <c r="P24" s="38">
        <v>1.33</v>
      </c>
      <c r="Q24" s="14" t="e">
        <f t="shared" si="1"/>
        <v>#DIV/0!</v>
      </c>
      <c r="R24" s="14">
        <f t="shared" si="2"/>
        <v>85979.699248120291</v>
      </c>
      <c r="S24" s="43">
        <f t="shared" si="3"/>
        <v>1.9738222967888037</v>
      </c>
      <c r="T24" s="38">
        <v>0</v>
      </c>
      <c r="U24" s="5" t="s">
        <v>615</v>
      </c>
      <c r="V24" t="s">
        <v>682</v>
      </c>
      <c r="X24" t="s">
        <v>617</v>
      </c>
      <c r="Y24" s="6" t="s">
        <v>32</v>
      </c>
    </row>
    <row r="25" spans="1:25" x14ac:dyDescent="0.25">
      <c r="A25" t="s">
        <v>683</v>
      </c>
      <c r="B25" t="s">
        <v>684</v>
      </c>
      <c r="C25" s="24">
        <v>44294</v>
      </c>
      <c r="D25" s="14">
        <v>132000</v>
      </c>
      <c r="E25" t="s">
        <v>27</v>
      </c>
      <c r="F25" t="s">
        <v>28</v>
      </c>
      <c r="G25" s="14">
        <v>132000</v>
      </c>
      <c r="H25" s="14">
        <v>79100</v>
      </c>
      <c r="I25" s="19">
        <f t="shared" si="0"/>
        <v>59.924242424242422</v>
      </c>
      <c r="J25" s="14">
        <v>158262</v>
      </c>
      <c r="K25" s="14">
        <f>G25-93087</f>
        <v>38913</v>
      </c>
      <c r="L25" s="14">
        <v>65175</v>
      </c>
      <c r="M25" s="29">
        <v>0</v>
      </c>
      <c r="N25" s="33">
        <v>0</v>
      </c>
      <c r="O25" s="38">
        <v>1.95</v>
      </c>
      <c r="P25" s="38">
        <v>1.95</v>
      </c>
      <c r="Q25" s="14" t="e">
        <f t="shared" si="1"/>
        <v>#DIV/0!</v>
      </c>
      <c r="R25" s="14">
        <f t="shared" si="2"/>
        <v>19955.384615384617</v>
      </c>
      <c r="S25" s="43">
        <f t="shared" si="3"/>
        <v>0.45811259447623087</v>
      </c>
      <c r="T25" s="38">
        <v>0</v>
      </c>
      <c r="U25" s="5" t="s">
        <v>615</v>
      </c>
      <c r="V25" t="s">
        <v>685</v>
      </c>
      <c r="X25" t="s">
        <v>617</v>
      </c>
      <c r="Y25" s="6" t="s">
        <v>32</v>
      </c>
    </row>
    <row r="26" spans="1:25" ht="15.75" thickBot="1" x14ac:dyDescent="0.3">
      <c r="A26" t="s">
        <v>618</v>
      </c>
      <c r="B26" t="s">
        <v>619</v>
      </c>
      <c r="C26" s="24">
        <v>45183</v>
      </c>
      <c r="D26" s="14">
        <v>373000</v>
      </c>
      <c r="E26" t="s">
        <v>620</v>
      </c>
      <c r="F26" t="s">
        <v>42</v>
      </c>
      <c r="G26" s="14">
        <v>373000</v>
      </c>
      <c r="H26" s="14">
        <v>160000</v>
      </c>
      <c r="I26" s="19">
        <f t="shared" si="0"/>
        <v>42.89544235924933</v>
      </c>
      <c r="J26" s="14">
        <v>319922</v>
      </c>
      <c r="K26" s="14">
        <f>G26-252642</f>
        <v>120358</v>
      </c>
      <c r="L26" s="14">
        <v>67280</v>
      </c>
      <c r="M26" s="29">
        <v>0</v>
      </c>
      <c r="N26" s="33">
        <v>0</v>
      </c>
      <c r="O26" s="38">
        <v>3.98</v>
      </c>
      <c r="P26" s="38">
        <v>2.16</v>
      </c>
      <c r="Q26" s="14" t="e">
        <f t="shared" si="1"/>
        <v>#DIV/0!</v>
      </c>
      <c r="R26" s="14">
        <f t="shared" si="2"/>
        <v>30240.703517587939</v>
      </c>
      <c r="S26" s="43">
        <f t="shared" si="3"/>
        <v>0.69423102657456237</v>
      </c>
      <c r="T26" s="38">
        <v>0</v>
      </c>
      <c r="U26" s="5" t="s">
        <v>615</v>
      </c>
      <c r="W26" t="s">
        <v>621</v>
      </c>
      <c r="X26" t="s">
        <v>617</v>
      </c>
      <c r="Y26" s="6" t="s">
        <v>32</v>
      </c>
    </row>
    <row r="27" spans="1:25" ht="15.75" thickTop="1" x14ac:dyDescent="0.25">
      <c r="A27" s="7"/>
      <c r="B27" s="7"/>
      <c r="C27" s="25" t="s">
        <v>769</v>
      </c>
      <c r="D27" s="15">
        <f>+SUM(D3:D26)</f>
        <v>6453850</v>
      </c>
      <c r="E27" s="7"/>
      <c r="F27" s="7"/>
      <c r="G27" s="15">
        <f>+SUM(G3:G26)</f>
        <v>6453850</v>
      </c>
      <c r="H27" s="15">
        <f>+SUM(H3:H26)</f>
        <v>2753200</v>
      </c>
      <c r="I27" s="20"/>
      <c r="J27" s="15">
        <f>+SUM(J3:J26)</f>
        <v>5576711</v>
      </c>
      <c r="K27" s="15">
        <f>+SUM(K3:K26)</f>
        <v>2694441</v>
      </c>
      <c r="L27" s="15">
        <f>+SUM(L3:L26)</f>
        <v>1746572</v>
      </c>
      <c r="M27" s="30">
        <f>+SUM(M3:M26)</f>
        <v>0</v>
      </c>
      <c r="N27" s="34"/>
      <c r="O27" s="39">
        <f>+SUM(O3:O26)</f>
        <v>43.98</v>
      </c>
      <c r="P27" s="39">
        <f>+SUM(P3:P26)</f>
        <v>40.009999999999991</v>
      </c>
      <c r="Q27" s="15"/>
      <c r="R27" s="15"/>
      <c r="S27" s="44"/>
      <c r="T27" s="39"/>
      <c r="U27" s="8"/>
      <c r="V27" s="7"/>
      <c r="W27" s="7"/>
      <c r="X27" s="7"/>
      <c r="Y27" s="7"/>
    </row>
    <row r="28" spans="1:25" x14ac:dyDescent="0.25">
      <c r="A28" s="9"/>
      <c r="B28" s="9"/>
      <c r="C28" s="26"/>
      <c r="D28" s="16"/>
      <c r="E28" s="9"/>
      <c r="F28" s="9"/>
      <c r="G28" s="16"/>
      <c r="H28" s="16" t="s">
        <v>770</v>
      </c>
      <c r="I28" s="21">
        <f>H27/G27*100</f>
        <v>42.659807711675981</v>
      </c>
      <c r="J28" s="16"/>
      <c r="K28" s="16"/>
      <c r="L28" s="16" t="s">
        <v>771</v>
      </c>
      <c r="M28" s="31"/>
      <c r="N28" s="35"/>
      <c r="O28" s="40" t="s">
        <v>771</v>
      </c>
      <c r="P28" s="40"/>
      <c r="Q28" s="16"/>
      <c r="R28" s="16" t="s">
        <v>771</v>
      </c>
      <c r="S28" s="45"/>
      <c r="T28" s="40"/>
      <c r="U28" s="10"/>
      <c r="V28" s="9"/>
      <c r="W28" s="9"/>
      <c r="X28" s="9"/>
      <c r="Y28" s="9"/>
    </row>
    <row r="29" spans="1:25" x14ac:dyDescent="0.25">
      <c r="A29" s="11"/>
      <c r="B29" s="11"/>
      <c r="C29" s="27"/>
      <c r="D29" s="17"/>
      <c r="E29" s="11"/>
      <c r="F29" s="11"/>
      <c r="G29" s="17"/>
      <c r="H29" s="17" t="s">
        <v>772</v>
      </c>
      <c r="I29" s="22">
        <f>STDEV(I3:I26)</f>
        <v>9.7054987628295724</v>
      </c>
      <c r="J29" s="17"/>
      <c r="K29" s="17"/>
      <c r="L29" s="17" t="s">
        <v>773</v>
      </c>
      <c r="M29" s="47" t="e">
        <f>K27/M27</f>
        <v>#DIV/0!</v>
      </c>
      <c r="N29" s="36"/>
      <c r="O29" s="41" t="s">
        <v>774</v>
      </c>
      <c r="P29" s="41">
        <f>K27/O27</f>
        <v>61265.143246930427</v>
      </c>
      <c r="Q29" s="17"/>
      <c r="R29" s="17" t="s">
        <v>775</v>
      </c>
      <c r="S29" s="46">
        <f>K27/O27/43560</f>
        <v>1.4064541608569887</v>
      </c>
      <c r="T29" s="41"/>
      <c r="U29" s="12"/>
      <c r="V29" s="11"/>
      <c r="W29" s="11"/>
      <c r="X29" s="11"/>
      <c r="Y29" s="11"/>
    </row>
    <row r="33" spans="1:45" x14ac:dyDescent="0.25">
      <c r="A33" s="48" t="s">
        <v>804</v>
      </c>
      <c r="C33"/>
      <c r="D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</row>
    <row r="34" spans="1:45" x14ac:dyDescent="0.25">
      <c r="A34" s="1" t="s">
        <v>0</v>
      </c>
      <c r="B34" s="1" t="s">
        <v>1</v>
      </c>
      <c r="C34" s="23" t="s">
        <v>2</v>
      </c>
      <c r="D34" s="13" t="s">
        <v>3</v>
      </c>
      <c r="E34" s="1" t="s">
        <v>4</v>
      </c>
      <c r="F34" s="1" t="s">
        <v>5</v>
      </c>
      <c r="G34" s="13" t="s">
        <v>6</v>
      </c>
      <c r="H34" s="13" t="s">
        <v>7</v>
      </c>
      <c r="I34" s="18" t="s">
        <v>8</v>
      </c>
      <c r="J34" s="13" t="s">
        <v>9</v>
      </c>
      <c r="K34" s="13" t="s">
        <v>10</v>
      </c>
      <c r="L34" s="13" t="s">
        <v>11</v>
      </c>
      <c r="M34" s="28" t="s">
        <v>12</v>
      </c>
      <c r="N34" s="32" t="s">
        <v>13</v>
      </c>
      <c r="O34" s="37" t="s">
        <v>14</v>
      </c>
      <c r="P34" s="37" t="s">
        <v>15</v>
      </c>
      <c r="Q34" s="13" t="s">
        <v>16</v>
      </c>
      <c r="R34" s="13" t="s">
        <v>17</v>
      </c>
      <c r="S34" s="42" t="s">
        <v>18</v>
      </c>
      <c r="T34" s="37" t="s">
        <v>19</v>
      </c>
      <c r="U34" s="3" t="s">
        <v>20</v>
      </c>
      <c r="V34" s="1" t="s">
        <v>21</v>
      </c>
      <c r="W34" s="1" t="s">
        <v>22</v>
      </c>
      <c r="X34" s="1" t="s">
        <v>23</v>
      </c>
      <c r="Y34" s="1" t="s">
        <v>24</v>
      </c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</row>
    <row r="35" spans="1:45" x14ac:dyDescent="0.25">
      <c r="A35" t="s">
        <v>207</v>
      </c>
      <c r="B35" t="s">
        <v>208</v>
      </c>
      <c r="C35" s="24">
        <v>45016</v>
      </c>
      <c r="D35" s="14">
        <v>305000</v>
      </c>
      <c r="E35" t="s">
        <v>27</v>
      </c>
      <c r="F35" t="s">
        <v>28</v>
      </c>
      <c r="G35" s="14">
        <v>305000</v>
      </c>
      <c r="H35" s="14">
        <v>162500</v>
      </c>
      <c r="I35" s="19">
        <f>H35/G35*100</f>
        <v>53.278688524590166</v>
      </c>
      <c r="J35" s="14">
        <v>325071</v>
      </c>
      <c r="K35" s="14">
        <f>G35-263691</f>
        <v>41309</v>
      </c>
      <c r="L35" s="14">
        <v>61380</v>
      </c>
      <c r="M35" s="29">
        <v>0</v>
      </c>
      <c r="N35" s="33">
        <v>0</v>
      </c>
      <c r="O35" s="38">
        <v>1</v>
      </c>
      <c r="P35" s="38">
        <v>0.99</v>
      </c>
      <c r="Q35" s="14" t="e">
        <f>K35/M35</f>
        <v>#DIV/0!</v>
      </c>
      <c r="R35" s="14">
        <f>K35/O35</f>
        <v>41309</v>
      </c>
      <c r="S35" s="43">
        <f>K35/O35/43560</f>
        <v>0.94832415059687791</v>
      </c>
      <c r="T35" s="38">
        <v>0</v>
      </c>
      <c r="U35" s="5" t="s">
        <v>29</v>
      </c>
      <c r="V35" t="s">
        <v>209</v>
      </c>
      <c r="X35" t="s">
        <v>47</v>
      </c>
      <c r="Y35" s="6" t="s">
        <v>32</v>
      </c>
    </row>
    <row r="36" spans="1:45" x14ac:dyDescent="0.25">
      <c r="A36" t="s">
        <v>44</v>
      </c>
      <c r="B36" t="s">
        <v>45</v>
      </c>
      <c r="C36" s="24">
        <v>45142</v>
      </c>
      <c r="D36" s="14">
        <v>250000</v>
      </c>
      <c r="E36" t="s">
        <v>27</v>
      </c>
      <c r="F36" t="s">
        <v>28</v>
      </c>
      <c r="G36" s="14">
        <v>250000</v>
      </c>
      <c r="H36" s="14">
        <v>112800</v>
      </c>
      <c r="I36" s="19">
        <f>H36/G36*100</f>
        <v>45.12</v>
      </c>
      <c r="J36" s="14">
        <v>225507</v>
      </c>
      <c r="K36" s="14">
        <f>G36-163507</f>
        <v>86493</v>
      </c>
      <c r="L36" s="14">
        <v>62000</v>
      </c>
      <c r="M36" s="29">
        <v>0</v>
      </c>
      <c r="N36" s="33">
        <v>0</v>
      </c>
      <c r="O36" s="38">
        <v>1</v>
      </c>
      <c r="P36" s="38">
        <v>1</v>
      </c>
      <c r="Q36" s="14" t="e">
        <f>K36/M36</f>
        <v>#DIV/0!</v>
      </c>
      <c r="R36" s="14">
        <f>K36/O36</f>
        <v>86493</v>
      </c>
      <c r="S36" s="43">
        <f>K36/O36/43560</f>
        <v>1.9856060606060606</v>
      </c>
      <c r="T36" s="38">
        <v>0</v>
      </c>
      <c r="U36" s="5" t="s">
        <v>29</v>
      </c>
      <c r="V36" t="s">
        <v>46</v>
      </c>
      <c r="X36" t="s">
        <v>47</v>
      </c>
      <c r="Y36" s="6" t="s">
        <v>32</v>
      </c>
    </row>
    <row r="37" spans="1:45" ht="15.75" thickBot="1" x14ac:dyDescent="0.3">
      <c r="A37" t="s">
        <v>95</v>
      </c>
      <c r="B37" t="s">
        <v>96</v>
      </c>
      <c r="C37" s="24">
        <v>45156</v>
      </c>
      <c r="D37" s="14">
        <v>395000</v>
      </c>
      <c r="E37" t="s">
        <v>27</v>
      </c>
      <c r="F37" t="s">
        <v>28</v>
      </c>
      <c r="G37" s="14">
        <v>395000</v>
      </c>
      <c r="H37" s="14">
        <v>201600</v>
      </c>
      <c r="I37" s="19">
        <f>H37/G37*100</f>
        <v>51.037974683544306</v>
      </c>
      <c r="J37" s="14">
        <v>403220</v>
      </c>
      <c r="K37" s="14">
        <f>G37-341220</f>
        <v>53780</v>
      </c>
      <c r="L37" s="14">
        <v>62000</v>
      </c>
      <c r="M37" s="29">
        <v>0</v>
      </c>
      <c r="N37" s="33">
        <v>0</v>
      </c>
      <c r="O37" s="38">
        <v>1</v>
      </c>
      <c r="P37" s="38">
        <v>1</v>
      </c>
      <c r="Q37" s="14" t="e">
        <f>K37/M37</f>
        <v>#DIV/0!</v>
      </c>
      <c r="R37" s="14">
        <f>K37/O37</f>
        <v>53780</v>
      </c>
      <c r="S37" s="43">
        <f>K37/O37/43560</f>
        <v>1.2346189164370982</v>
      </c>
      <c r="T37" s="38">
        <v>0</v>
      </c>
      <c r="U37" s="5" t="s">
        <v>29</v>
      </c>
      <c r="V37" t="s">
        <v>97</v>
      </c>
      <c r="X37" t="s">
        <v>47</v>
      </c>
      <c r="Y37" s="6" t="s">
        <v>32</v>
      </c>
    </row>
    <row r="38" spans="1:45" ht="15.75" thickTop="1" x14ac:dyDescent="0.25">
      <c r="A38" s="7"/>
      <c r="B38" s="7"/>
      <c r="C38" s="25" t="s">
        <v>769</v>
      </c>
      <c r="D38" s="15">
        <f>+SUM(D35:D37)</f>
        <v>950000</v>
      </c>
      <c r="E38" s="7"/>
      <c r="F38" s="7"/>
      <c r="G38" s="15">
        <f>+SUM(G35:G37)</f>
        <v>950000</v>
      </c>
      <c r="H38" s="15">
        <f>+SUM(H35:H37)</f>
        <v>476900</v>
      </c>
      <c r="I38" s="20"/>
      <c r="J38" s="15">
        <f>+SUM(J35:J37)</f>
        <v>953798</v>
      </c>
      <c r="K38" s="15">
        <f>+SUM(K35:K37)</f>
        <v>181582</v>
      </c>
      <c r="L38" s="15">
        <f>+SUM(L35:L37)</f>
        <v>185380</v>
      </c>
      <c r="M38" s="30">
        <f>+SUM(M35:M37)</f>
        <v>0</v>
      </c>
      <c r="N38" s="34"/>
      <c r="O38" s="39">
        <f>+SUM(O35:O37)</f>
        <v>3</v>
      </c>
      <c r="P38" s="39">
        <f>+SUM(P35:P37)</f>
        <v>2.99</v>
      </c>
      <c r="Q38" s="15"/>
      <c r="R38" s="15"/>
      <c r="S38" s="44"/>
      <c r="T38" s="39"/>
      <c r="U38" s="8"/>
      <c r="V38" s="7"/>
      <c r="W38" s="7"/>
      <c r="X38" s="7"/>
      <c r="Y38" s="7"/>
    </row>
    <row r="39" spans="1:45" x14ac:dyDescent="0.25">
      <c r="A39" s="9"/>
      <c r="B39" s="9"/>
      <c r="C39" s="26"/>
      <c r="D39" s="16"/>
      <c r="E39" s="9"/>
      <c r="F39" s="9"/>
      <c r="G39" s="16"/>
      <c r="H39" s="16" t="s">
        <v>770</v>
      </c>
      <c r="I39" s="21">
        <f>H38/G38*100</f>
        <v>50.2</v>
      </c>
      <c r="J39" s="16"/>
      <c r="K39" s="16"/>
      <c r="L39" s="16" t="s">
        <v>771</v>
      </c>
      <c r="M39" s="31"/>
      <c r="N39" s="35"/>
      <c r="O39" s="40" t="s">
        <v>771</v>
      </c>
      <c r="P39" s="40"/>
      <c r="Q39" s="16"/>
      <c r="R39" s="16" t="s">
        <v>771</v>
      </c>
      <c r="S39" s="45"/>
      <c r="T39" s="40"/>
      <c r="U39" s="10"/>
      <c r="V39" s="9"/>
      <c r="W39" s="9"/>
      <c r="X39" s="9"/>
      <c r="Y39" s="9"/>
    </row>
    <row r="40" spans="1:45" x14ac:dyDescent="0.25">
      <c r="A40" s="11"/>
      <c r="B40" s="11"/>
      <c r="C40" s="27"/>
      <c r="D40" s="17"/>
      <c r="E40" s="11"/>
      <c r="F40" s="11"/>
      <c r="G40" s="17"/>
      <c r="H40" s="17" t="s">
        <v>772</v>
      </c>
      <c r="I40" s="22">
        <f>STDEV(I35:I37)</f>
        <v>4.2151991118215113</v>
      </c>
      <c r="J40" s="17"/>
      <c r="K40" s="17"/>
      <c r="L40" s="17" t="s">
        <v>773</v>
      </c>
      <c r="M40" s="47" t="e">
        <f>K38/M38</f>
        <v>#DIV/0!</v>
      </c>
      <c r="N40" s="36"/>
      <c r="O40" s="41" t="s">
        <v>774</v>
      </c>
      <c r="P40" s="41">
        <f>K38/O38</f>
        <v>60527.333333333336</v>
      </c>
      <c r="Q40" s="17"/>
      <c r="R40" s="17" t="s">
        <v>775</v>
      </c>
      <c r="S40" s="46">
        <f>K38/O38/43560</f>
        <v>1.3895163758800122</v>
      </c>
      <c r="T40" s="41"/>
      <c r="U40" s="12"/>
      <c r="V40" s="11"/>
      <c r="W40" s="11"/>
      <c r="X40" s="11"/>
      <c r="Y40" s="11"/>
    </row>
    <row r="41" spans="1:45" x14ac:dyDescent="0.25">
      <c r="A41" t="s">
        <v>817</v>
      </c>
      <c r="C41"/>
      <c r="D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</row>
    <row r="42" spans="1:45" x14ac:dyDescent="0.25">
      <c r="C42"/>
      <c r="D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</row>
    <row r="43" spans="1:45" x14ac:dyDescent="0.25">
      <c r="A43" s="48" t="s">
        <v>805</v>
      </c>
      <c r="C43"/>
      <c r="D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</row>
    <row r="44" spans="1:45" x14ac:dyDescent="0.25">
      <c r="A44" s="1" t="s">
        <v>0</v>
      </c>
      <c r="B44" s="1" t="s">
        <v>1</v>
      </c>
      <c r="C44" s="23" t="s">
        <v>2</v>
      </c>
      <c r="D44" s="13" t="s">
        <v>3</v>
      </c>
      <c r="E44" s="1" t="s">
        <v>4</v>
      </c>
      <c r="F44" s="1" t="s">
        <v>5</v>
      </c>
      <c r="G44" s="13" t="s">
        <v>6</v>
      </c>
      <c r="H44" s="13" t="s">
        <v>7</v>
      </c>
      <c r="I44" s="18" t="s">
        <v>8</v>
      </c>
      <c r="J44" s="13" t="s">
        <v>9</v>
      </c>
      <c r="K44" s="13" t="s">
        <v>10</v>
      </c>
      <c r="L44" s="13" t="s">
        <v>11</v>
      </c>
      <c r="M44" s="28" t="s">
        <v>12</v>
      </c>
      <c r="N44" s="32" t="s">
        <v>13</v>
      </c>
      <c r="O44" s="37" t="s">
        <v>14</v>
      </c>
      <c r="P44" s="37" t="s">
        <v>15</v>
      </c>
      <c r="Q44" s="13" t="s">
        <v>16</v>
      </c>
      <c r="R44" s="13" t="s">
        <v>17</v>
      </c>
      <c r="S44" s="42" t="s">
        <v>18</v>
      </c>
      <c r="T44" s="37" t="s">
        <v>19</v>
      </c>
      <c r="U44" s="3" t="s">
        <v>20</v>
      </c>
      <c r="V44" s="1" t="s">
        <v>21</v>
      </c>
      <c r="W44" s="1" t="s">
        <v>22</v>
      </c>
      <c r="X44" s="1" t="s">
        <v>23</v>
      </c>
      <c r="Y44" s="1" t="s">
        <v>24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</row>
    <row r="45" spans="1:45" x14ac:dyDescent="0.25">
      <c r="A45" t="s">
        <v>92</v>
      </c>
      <c r="B45" t="s">
        <v>93</v>
      </c>
      <c r="C45" s="24">
        <v>44785</v>
      </c>
      <c r="D45" s="14">
        <v>340000</v>
      </c>
      <c r="E45" t="s">
        <v>27</v>
      </c>
      <c r="F45" t="s">
        <v>28</v>
      </c>
      <c r="G45" s="14">
        <v>340000</v>
      </c>
      <c r="H45" s="14">
        <v>123600</v>
      </c>
      <c r="I45" s="19">
        <f t="shared" ref="I45:I50" si="4">H45/G45*100</f>
        <v>36.352941176470587</v>
      </c>
      <c r="J45" s="14">
        <v>247213</v>
      </c>
      <c r="K45" s="14">
        <f>G45-182013</f>
        <v>157987</v>
      </c>
      <c r="L45" s="14">
        <v>65200</v>
      </c>
      <c r="M45" s="29">
        <v>0</v>
      </c>
      <c r="N45" s="33">
        <v>0</v>
      </c>
      <c r="O45" s="38">
        <v>1.1000000000000001</v>
      </c>
      <c r="P45" s="38">
        <v>1.1000000000000001</v>
      </c>
      <c r="Q45" s="14" t="e">
        <f t="shared" ref="Q45:Q50" si="5">K45/M45</f>
        <v>#DIV/0!</v>
      </c>
      <c r="R45" s="14">
        <f t="shared" ref="R45:R50" si="6">K45/O45</f>
        <v>143624.54545454544</v>
      </c>
      <c r="S45" s="43">
        <f t="shared" ref="S45:S50" si="7">K45/O45/43560</f>
        <v>3.2971658736121543</v>
      </c>
      <c r="T45" s="38">
        <v>0</v>
      </c>
      <c r="U45" s="5" t="s">
        <v>29</v>
      </c>
      <c r="V45" t="s">
        <v>94</v>
      </c>
      <c r="X45" t="s">
        <v>47</v>
      </c>
      <c r="Y45" s="6" t="s">
        <v>32</v>
      </c>
    </row>
    <row r="46" spans="1:45" x14ac:dyDescent="0.25">
      <c r="A46" t="s">
        <v>229</v>
      </c>
      <c r="B46" t="s">
        <v>230</v>
      </c>
      <c r="C46" s="24">
        <v>45037</v>
      </c>
      <c r="D46" s="14">
        <v>390000</v>
      </c>
      <c r="E46" t="s">
        <v>27</v>
      </c>
      <c r="F46" t="s">
        <v>28</v>
      </c>
      <c r="G46" s="14">
        <v>390000</v>
      </c>
      <c r="H46" s="14">
        <v>147300</v>
      </c>
      <c r="I46" s="19">
        <f t="shared" si="4"/>
        <v>37.769230769230774</v>
      </c>
      <c r="J46" s="14">
        <v>294564</v>
      </c>
      <c r="K46" s="14">
        <f>G46-226164</f>
        <v>163836</v>
      </c>
      <c r="L46" s="14">
        <v>68400</v>
      </c>
      <c r="M46" s="29">
        <v>0</v>
      </c>
      <c r="N46" s="33">
        <v>0</v>
      </c>
      <c r="O46" s="38">
        <v>1.2</v>
      </c>
      <c r="P46" s="38">
        <v>1.2</v>
      </c>
      <c r="Q46" s="14" t="e">
        <f t="shared" si="5"/>
        <v>#DIV/0!</v>
      </c>
      <c r="R46" s="14">
        <f t="shared" si="6"/>
        <v>136530</v>
      </c>
      <c r="S46" s="43">
        <f t="shared" si="7"/>
        <v>3.134297520661157</v>
      </c>
      <c r="T46" s="38">
        <v>0</v>
      </c>
      <c r="U46" s="5" t="s">
        <v>29</v>
      </c>
      <c r="V46" t="s">
        <v>232</v>
      </c>
      <c r="X46" t="s">
        <v>47</v>
      </c>
      <c r="Y46" s="6" t="s">
        <v>32</v>
      </c>
    </row>
    <row r="47" spans="1:45" x14ac:dyDescent="0.25">
      <c r="A47" t="s">
        <v>229</v>
      </c>
      <c r="B47" t="s">
        <v>230</v>
      </c>
      <c r="C47" s="24">
        <v>44839</v>
      </c>
      <c r="D47" s="14">
        <v>275000</v>
      </c>
      <c r="E47" t="s">
        <v>27</v>
      </c>
      <c r="F47" t="s">
        <v>28</v>
      </c>
      <c r="G47" s="14">
        <v>275000</v>
      </c>
      <c r="H47" s="14">
        <v>147300</v>
      </c>
      <c r="I47" s="19">
        <f t="shared" si="4"/>
        <v>53.56363636363637</v>
      </c>
      <c r="J47" s="14">
        <v>294564</v>
      </c>
      <c r="K47" s="14">
        <f>G47-226164</f>
        <v>48836</v>
      </c>
      <c r="L47" s="14">
        <v>68400</v>
      </c>
      <c r="M47" s="29">
        <v>0</v>
      </c>
      <c r="N47" s="33">
        <v>0</v>
      </c>
      <c r="O47" s="38">
        <v>1.2</v>
      </c>
      <c r="P47" s="38">
        <v>1.2</v>
      </c>
      <c r="Q47" s="14" t="e">
        <f t="shared" si="5"/>
        <v>#DIV/0!</v>
      </c>
      <c r="R47" s="14">
        <f t="shared" si="6"/>
        <v>40696.666666666672</v>
      </c>
      <c r="S47" s="43">
        <f t="shared" si="7"/>
        <v>0.93426691153963892</v>
      </c>
      <c r="T47" s="38">
        <v>0</v>
      </c>
      <c r="U47" s="5" t="s">
        <v>29</v>
      </c>
      <c r="V47" t="s">
        <v>231</v>
      </c>
      <c r="X47" t="s">
        <v>47</v>
      </c>
      <c r="Y47" s="6" t="s">
        <v>32</v>
      </c>
    </row>
    <row r="48" spans="1:45" x14ac:dyDescent="0.25">
      <c r="A48" t="s">
        <v>129</v>
      </c>
      <c r="B48" t="s">
        <v>130</v>
      </c>
      <c r="C48" s="24">
        <v>44610</v>
      </c>
      <c r="D48" s="14">
        <v>55000</v>
      </c>
      <c r="E48" t="s">
        <v>27</v>
      </c>
      <c r="F48" t="s">
        <v>28</v>
      </c>
      <c r="G48" s="14">
        <v>55000</v>
      </c>
      <c r="H48" s="14">
        <v>17500</v>
      </c>
      <c r="I48" s="19">
        <f t="shared" si="4"/>
        <v>31.818181818181817</v>
      </c>
      <c r="J48" s="14">
        <v>35000</v>
      </c>
      <c r="K48" s="14">
        <f>G48-0</f>
        <v>55000</v>
      </c>
      <c r="L48" s="14">
        <v>35000</v>
      </c>
      <c r="M48" s="29">
        <v>0</v>
      </c>
      <c r="N48" s="33">
        <v>0</v>
      </c>
      <c r="O48" s="38">
        <v>1.25</v>
      </c>
      <c r="P48" s="38">
        <v>1.25</v>
      </c>
      <c r="Q48" s="14" t="e">
        <f t="shared" si="5"/>
        <v>#DIV/0!</v>
      </c>
      <c r="R48" s="14">
        <f t="shared" si="6"/>
        <v>44000</v>
      </c>
      <c r="S48" s="43">
        <f t="shared" si="7"/>
        <v>1.0101010101010102</v>
      </c>
      <c r="T48" s="38">
        <v>0</v>
      </c>
      <c r="U48" s="5" t="s">
        <v>29</v>
      </c>
      <c r="V48" t="s">
        <v>131</v>
      </c>
      <c r="X48" t="s">
        <v>47</v>
      </c>
      <c r="Y48" s="6" t="s">
        <v>113</v>
      </c>
    </row>
    <row r="49" spans="1:45" x14ac:dyDescent="0.25">
      <c r="A49" t="s">
        <v>233</v>
      </c>
      <c r="B49" t="s">
        <v>234</v>
      </c>
      <c r="C49" s="24">
        <v>44404</v>
      </c>
      <c r="D49" s="14">
        <v>425000</v>
      </c>
      <c r="E49" t="s">
        <v>27</v>
      </c>
      <c r="F49" t="s">
        <v>28</v>
      </c>
      <c r="G49" s="14">
        <v>425000</v>
      </c>
      <c r="H49" s="14">
        <v>171800</v>
      </c>
      <c r="I49" s="19">
        <f t="shared" si="4"/>
        <v>40.423529411764711</v>
      </c>
      <c r="J49" s="14">
        <v>343622</v>
      </c>
      <c r="K49" s="14">
        <f>G49-271062</f>
        <v>153938</v>
      </c>
      <c r="L49" s="14">
        <v>72560</v>
      </c>
      <c r="M49" s="29">
        <v>0</v>
      </c>
      <c r="N49" s="33">
        <v>0</v>
      </c>
      <c r="O49" s="38">
        <v>1.33</v>
      </c>
      <c r="P49" s="38">
        <v>1.33</v>
      </c>
      <c r="Q49" s="14" t="e">
        <f t="shared" si="5"/>
        <v>#DIV/0!</v>
      </c>
      <c r="R49" s="14">
        <f t="shared" si="6"/>
        <v>115742.85714285713</v>
      </c>
      <c r="S49" s="43">
        <f t="shared" si="7"/>
        <v>2.6570903843631113</v>
      </c>
      <c r="T49" s="38">
        <v>0</v>
      </c>
      <c r="U49" s="5" t="s">
        <v>29</v>
      </c>
      <c r="V49" t="s">
        <v>235</v>
      </c>
      <c r="X49" t="s">
        <v>47</v>
      </c>
      <c r="Y49" s="6" t="s">
        <v>32</v>
      </c>
    </row>
    <row r="50" spans="1:45" ht="15.75" thickBot="1" x14ac:dyDescent="0.3">
      <c r="A50" t="s">
        <v>213</v>
      </c>
      <c r="B50" t="s">
        <v>214</v>
      </c>
      <c r="C50" s="24">
        <v>45008</v>
      </c>
      <c r="D50" s="14">
        <v>130000</v>
      </c>
      <c r="E50" t="s">
        <v>27</v>
      </c>
      <c r="F50" t="s">
        <v>28</v>
      </c>
      <c r="G50" s="14">
        <v>130000</v>
      </c>
      <c r="H50" s="14">
        <v>75100</v>
      </c>
      <c r="I50" s="19">
        <f t="shared" si="4"/>
        <v>57.769230769230774</v>
      </c>
      <c r="J50" s="14">
        <v>150240</v>
      </c>
      <c r="K50" s="14">
        <f>G50-0</f>
        <v>130000</v>
      </c>
      <c r="L50" s="14">
        <v>150240</v>
      </c>
      <c r="M50" s="29">
        <v>0</v>
      </c>
      <c r="N50" s="33">
        <v>0</v>
      </c>
      <c r="O50" s="38">
        <v>1.41</v>
      </c>
      <c r="P50" s="38">
        <v>1.41</v>
      </c>
      <c r="Q50" s="14" t="e">
        <f t="shared" si="5"/>
        <v>#DIV/0!</v>
      </c>
      <c r="R50" s="14">
        <f t="shared" si="6"/>
        <v>92198.581560283696</v>
      </c>
      <c r="S50" s="43">
        <f t="shared" si="7"/>
        <v>2.1165881900891574</v>
      </c>
      <c r="T50" s="38">
        <v>0</v>
      </c>
      <c r="U50" s="5" t="s">
        <v>29</v>
      </c>
      <c r="V50" t="s">
        <v>215</v>
      </c>
      <c r="X50" t="s">
        <v>47</v>
      </c>
      <c r="Y50" s="6" t="s">
        <v>113</v>
      </c>
    </row>
    <row r="51" spans="1:45" ht="15.75" thickTop="1" x14ac:dyDescent="0.25">
      <c r="A51" s="7"/>
      <c r="B51" s="7"/>
      <c r="C51" s="25" t="s">
        <v>769</v>
      </c>
      <c r="D51" s="15">
        <f>+SUM(D45:D50)</f>
        <v>1615000</v>
      </c>
      <c r="E51" s="7"/>
      <c r="F51" s="7"/>
      <c r="G51" s="15">
        <f>+SUM(G45:G50)</f>
        <v>1615000</v>
      </c>
      <c r="H51" s="15">
        <f>+SUM(H45:H50)</f>
        <v>682600</v>
      </c>
      <c r="I51" s="20"/>
      <c r="J51" s="15">
        <f>+SUM(J45:J50)</f>
        <v>1365203</v>
      </c>
      <c r="K51" s="15">
        <f>+SUM(K45:K50)</f>
        <v>709597</v>
      </c>
      <c r="L51" s="15">
        <f>+SUM(L45:L50)</f>
        <v>459800</v>
      </c>
      <c r="M51" s="30">
        <f>+SUM(M45:M50)</f>
        <v>0</v>
      </c>
      <c r="N51" s="34"/>
      <c r="O51" s="39">
        <f>+SUM(O45:O50)</f>
        <v>7.49</v>
      </c>
      <c r="P51" s="39">
        <f>+SUM(P45:P50)</f>
        <v>7.49</v>
      </c>
      <c r="Q51" s="15"/>
      <c r="R51" s="15"/>
      <c r="S51" s="44"/>
      <c r="T51" s="39"/>
      <c r="U51" s="8"/>
      <c r="V51" s="7"/>
      <c r="W51" s="7"/>
      <c r="X51" s="7"/>
      <c r="Y51" s="7"/>
    </row>
    <row r="52" spans="1:45" x14ac:dyDescent="0.25">
      <c r="A52" s="9"/>
      <c r="B52" s="9"/>
      <c r="C52" s="26"/>
      <c r="D52" s="16"/>
      <c r="E52" s="9"/>
      <c r="F52" s="9"/>
      <c r="G52" s="16"/>
      <c r="H52" s="16" t="s">
        <v>770</v>
      </c>
      <c r="I52" s="21">
        <f>H51/G51*100</f>
        <v>42.266253869969042</v>
      </c>
      <c r="J52" s="16"/>
      <c r="K52" s="16"/>
      <c r="L52" s="16" t="s">
        <v>771</v>
      </c>
      <c r="M52" s="31"/>
      <c r="N52" s="35"/>
      <c r="O52" s="40" t="s">
        <v>771</v>
      </c>
      <c r="P52" s="40"/>
      <c r="Q52" s="16"/>
      <c r="R52" s="16" t="s">
        <v>771</v>
      </c>
      <c r="S52" s="45"/>
      <c r="T52" s="40"/>
      <c r="U52" s="10"/>
      <c r="V52" s="9"/>
      <c r="W52" s="9"/>
      <c r="X52" s="9"/>
      <c r="Y52" s="9"/>
    </row>
    <row r="53" spans="1:45" x14ac:dyDescent="0.25">
      <c r="A53" s="11"/>
      <c r="B53" s="11"/>
      <c r="C53" s="27"/>
      <c r="D53" s="17"/>
      <c r="E53" s="11"/>
      <c r="F53" s="11"/>
      <c r="G53" s="17"/>
      <c r="H53" s="17" t="s">
        <v>772</v>
      </c>
      <c r="I53" s="22">
        <f>STDEV(I45:I50)</f>
        <v>10.323961064446245</v>
      </c>
      <c r="J53" s="17"/>
      <c r="K53" s="17"/>
      <c r="L53" s="17" t="s">
        <v>773</v>
      </c>
      <c r="M53" s="47" t="e">
        <f>K51/M51</f>
        <v>#DIV/0!</v>
      </c>
      <c r="N53" s="36"/>
      <c r="O53" s="41" t="s">
        <v>774</v>
      </c>
      <c r="P53" s="41">
        <f>K51/O51</f>
        <v>94739.252336448597</v>
      </c>
      <c r="Q53" s="17"/>
      <c r="R53" s="17" t="s">
        <v>775</v>
      </c>
      <c r="S53" s="46">
        <f>K51/O51/43560</f>
        <v>2.1749139654832095</v>
      </c>
      <c r="T53" s="41"/>
      <c r="U53" s="12"/>
      <c r="V53" s="11"/>
      <c r="W53" s="11"/>
      <c r="X53" s="11"/>
      <c r="Y53" s="11"/>
    </row>
    <row r="54" spans="1:45" x14ac:dyDescent="0.25">
      <c r="A54" t="s">
        <v>817</v>
      </c>
      <c r="C54"/>
      <c r="D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</row>
    <row r="55" spans="1:45" x14ac:dyDescent="0.25">
      <c r="C55"/>
      <c r="D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</row>
    <row r="56" spans="1:45" x14ac:dyDescent="0.25">
      <c r="A56" s="48" t="s">
        <v>806</v>
      </c>
      <c r="C56"/>
      <c r="D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</row>
    <row r="57" spans="1:45" x14ac:dyDescent="0.25">
      <c r="A57" s="1" t="s">
        <v>0</v>
      </c>
      <c r="B57" s="1" t="s">
        <v>1</v>
      </c>
      <c r="C57" s="23" t="s">
        <v>2</v>
      </c>
      <c r="D57" s="13" t="s">
        <v>3</v>
      </c>
      <c r="E57" s="1" t="s">
        <v>4</v>
      </c>
      <c r="F57" s="1" t="s">
        <v>5</v>
      </c>
      <c r="G57" s="13" t="s">
        <v>6</v>
      </c>
      <c r="H57" s="13" t="s">
        <v>7</v>
      </c>
      <c r="I57" s="18" t="s">
        <v>8</v>
      </c>
      <c r="J57" s="13" t="s">
        <v>9</v>
      </c>
      <c r="K57" s="13" t="s">
        <v>10</v>
      </c>
      <c r="L57" s="13" t="s">
        <v>11</v>
      </c>
      <c r="M57" s="28" t="s">
        <v>12</v>
      </c>
      <c r="N57" s="32" t="s">
        <v>13</v>
      </c>
      <c r="O57" s="37" t="s">
        <v>14</v>
      </c>
      <c r="P57" s="37" t="s">
        <v>15</v>
      </c>
      <c r="Q57" s="13" t="s">
        <v>16</v>
      </c>
      <c r="R57" s="13" t="s">
        <v>17</v>
      </c>
      <c r="S57" s="42" t="s">
        <v>18</v>
      </c>
      <c r="T57" s="37" t="s">
        <v>19</v>
      </c>
      <c r="U57" s="3" t="s">
        <v>20</v>
      </c>
      <c r="V57" s="1" t="s">
        <v>21</v>
      </c>
      <c r="W57" s="1" t="s">
        <v>22</v>
      </c>
      <c r="X57" s="1" t="s">
        <v>23</v>
      </c>
      <c r="Y57" s="1" t="s">
        <v>24</v>
      </c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</row>
    <row r="58" spans="1:45" x14ac:dyDescent="0.25">
      <c r="A58" t="s">
        <v>222</v>
      </c>
      <c r="B58" t="s">
        <v>223</v>
      </c>
      <c r="C58" s="24">
        <v>44377</v>
      </c>
      <c r="D58" s="14">
        <v>331100</v>
      </c>
      <c r="E58" t="s">
        <v>27</v>
      </c>
      <c r="F58" t="s">
        <v>28</v>
      </c>
      <c r="G58" s="14">
        <v>331100</v>
      </c>
      <c r="H58" s="14">
        <v>158000</v>
      </c>
      <c r="I58" s="19">
        <f>H58/G58*100</f>
        <v>47.719722138326794</v>
      </c>
      <c r="J58" s="14">
        <v>315935</v>
      </c>
      <c r="K58" s="14">
        <f>G58-194435</f>
        <v>136665</v>
      </c>
      <c r="L58" s="14">
        <v>121500</v>
      </c>
      <c r="M58" s="29">
        <v>0</v>
      </c>
      <c r="N58" s="33">
        <v>0</v>
      </c>
      <c r="O58" s="38">
        <v>1.7</v>
      </c>
      <c r="P58" s="38">
        <v>1.7</v>
      </c>
      <c r="Q58" s="14" t="e">
        <f>K58/M58</f>
        <v>#DIV/0!</v>
      </c>
      <c r="R58" s="14">
        <f>K58/O58</f>
        <v>80391.176470588238</v>
      </c>
      <c r="S58" s="43">
        <f>K58/O58/43560</f>
        <v>1.8455274671852213</v>
      </c>
      <c r="T58" s="38">
        <v>0</v>
      </c>
      <c r="U58" s="5" t="s">
        <v>29</v>
      </c>
      <c r="V58" t="s">
        <v>224</v>
      </c>
      <c r="X58" t="s">
        <v>47</v>
      </c>
      <c r="Y58" s="6" t="s">
        <v>32</v>
      </c>
    </row>
    <row r="59" spans="1:45" ht="15.75" thickBot="1" x14ac:dyDescent="0.3">
      <c r="A59" t="s">
        <v>565</v>
      </c>
      <c r="B59" t="s">
        <v>566</v>
      </c>
      <c r="C59" s="24">
        <v>45170</v>
      </c>
      <c r="D59" s="14">
        <v>242500</v>
      </c>
      <c r="E59" t="s">
        <v>27</v>
      </c>
      <c r="F59" t="s">
        <v>42</v>
      </c>
      <c r="G59" s="14">
        <v>242500</v>
      </c>
      <c r="H59" s="14">
        <v>106500</v>
      </c>
      <c r="I59" s="19">
        <f>H59/G59*100</f>
        <v>43.917525773195877</v>
      </c>
      <c r="J59" s="14">
        <v>232478</v>
      </c>
      <c r="K59" s="14">
        <f>G59-131318</f>
        <v>111182</v>
      </c>
      <c r="L59" s="14">
        <v>81580</v>
      </c>
      <c r="M59" s="29">
        <v>0</v>
      </c>
      <c r="N59" s="33">
        <v>0</v>
      </c>
      <c r="O59" s="38">
        <v>1.89</v>
      </c>
      <c r="P59" s="38">
        <v>1</v>
      </c>
      <c r="Q59" s="14" t="e">
        <f>K59/M59</f>
        <v>#DIV/0!</v>
      </c>
      <c r="R59" s="14">
        <f>K59/O59</f>
        <v>58826.455026455027</v>
      </c>
      <c r="S59" s="43">
        <f>K59/O59/43560</f>
        <v>1.350469582792815</v>
      </c>
      <c r="T59" s="38">
        <v>0</v>
      </c>
      <c r="U59" s="5" t="s">
        <v>29</v>
      </c>
      <c r="V59" t="s">
        <v>567</v>
      </c>
      <c r="W59" t="s">
        <v>568</v>
      </c>
      <c r="X59" t="s">
        <v>47</v>
      </c>
      <c r="Y59" s="6" t="s">
        <v>32</v>
      </c>
    </row>
    <row r="60" spans="1:45" ht="15.75" thickTop="1" x14ac:dyDescent="0.25">
      <c r="A60" s="7"/>
      <c r="B60" s="7"/>
      <c r="C60" s="25" t="s">
        <v>769</v>
      </c>
      <c r="D60" s="15">
        <f>+SUM(D58:D59)</f>
        <v>573600</v>
      </c>
      <c r="E60" s="7"/>
      <c r="F60" s="7"/>
      <c r="G60" s="15">
        <f>+SUM(G58:G59)</f>
        <v>573600</v>
      </c>
      <c r="H60" s="15">
        <f>+SUM(H58:H59)</f>
        <v>264500</v>
      </c>
      <c r="I60" s="20"/>
      <c r="J60" s="15">
        <f>+SUM(J58:J59)</f>
        <v>548413</v>
      </c>
      <c r="K60" s="15">
        <f>+SUM(K58:K59)</f>
        <v>247847</v>
      </c>
      <c r="L60" s="15">
        <f>+SUM(L58:L59)</f>
        <v>203080</v>
      </c>
      <c r="M60" s="30">
        <f>+SUM(M58:M59)</f>
        <v>0</v>
      </c>
      <c r="N60" s="34"/>
      <c r="O60" s="39">
        <f>+SUM(O58:O59)</f>
        <v>3.59</v>
      </c>
      <c r="P60" s="39">
        <f>+SUM(P58:P59)</f>
        <v>2.7</v>
      </c>
      <c r="Q60" s="15"/>
      <c r="R60" s="15"/>
      <c r="S60" s="44"/>
      <c r="T60" s="39"/>
      <c r="U60" s="8"/>
      <c r="V60" s="7"/>
      <c r="W60" s="7"/>
      <c r="X60" s="7"/>
      <c r="Y60" s="7"/>
    </row>
    <row r="61" spans="1:45" x14ac:dyDescent="0.25">
      <c r="A61" s="9"/>
      <c r="B61" s="9"/>
      <c r="C61" s="26"/>
      <c r="D61" s="16"/>
      <c r="E61" s="9"/>
      <c r="F61" s="9"/>
      <c r="G61" s="16"/>
      <c r="H61" s="16" t="s">
        <v>770</v>
      </c>
      <c r="I61" s="21">
        <f>H60/G60*100</f>
        <v>46.112273361227338</v>
      </c>
      <c r="J61" s="16"/>
      <c r="K61" s="16"/>
      <c r="L61" s="16" t="s">
        <v>771</v>
      </c>
      <c r="M61" s="31"/>
      <c r="N61" s="35"/>
      <c r="O61" s="40" t="s">
        <v>771</v>
      </c>
      <c r="P61" s="40"/>
      <c r="Q61" s="16"/>
      <c r="R61" s="16" t="s">
        <v>771</v>
      </c>
      <c r="S61" s="45"/>
      <c r="T61" s="40"/>
      <c r="U61" s="10"/>
      <c r="V61" s="9"/>
      <c r="W61" s="9"/>
      <c r="X61" s="9"/>
      <c r="Y61" s="9"/>
    </row>
    <row r="62" spans="1:45" x14ac:dyDescent="0.25">
      <c r="A62" s="11"/>
      <c r="B62" s="11"/>
      <c r="C62" s="27"/>
      <c r="D62" s="17"/>
      <c r="E62" s="11"/>
      <c r="F62" s="11"/>
      <c r="G62" s="17"/>
      <c r="H62" s="17" t="s">
        <v>772</v>
      </c>
      <c r="I62" s="22">
        <f>STDEV(I58:I59)</f>
        <v>2.6885588331869141</v>
      </c>
      <c r="J62" s="17"/>
      <c r="K62" s="17"/>
      <c r="L62" s="17" t="s">
        <v>773</v>
      </c>
      <c r="M62" s="47" t="e">
        <f>K60/M60</f>
        <v>#DIV/0!</v>
      </c>
      <c r="N62" s="36"/>
      <c r="O62" s="41" t="s">
        <v>774</v>
      </c>
      <c r="P62" s="41">
        <f>K60/O60</f>
        <v>69038.161559888584</v>
      </c>
      <c r="Q62" s="17"/>
      <c r="R62" s="17" t="s">
        <v>775</v>
      </c>
      <c r="S62" s="46">
        <f>K60/O60/43560</f>
        <v>1.5848981074354587</v>
      </c>
      <c r="T62" s="41"/>
      <c r="U62" s="12"/>
      <c r="V62" s="11"/>
      <c r="W62" s="11"/>
      <c r="X62" s="11"/>
      <c r="Y62" s="11"/>
    </row>
    <row r="63" spans="1:45" x14ac:dyDescent="0.25">
      <c r="A63" t="s">
        <v>817</v>
      </c>
      <c r="C63"/>
      <c r="D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</row>
    <row r="64" spans="1:45" x14ac:dyDescent="0.25">
      <c r="C64"/>
      <c r="D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</row>
    <row r="65" spans="1:45" x14ac:dyDescent="0.25">
      <c r="A65" s="48" t="s">
        <v>807</v>
      </c>
      <c r="C65"/>
      <c r="D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</row>
    <row r="66" spans="1:45" x14ac:dyDescent="0.25">
      <c r="A66" t="s">
        <v>817</v>
      </c>
      <c r="C66"/>
      <c r="D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</row>
    <row r="67" spans="1:45" x14ac:dyDescent="0.25">
      <c r="C67"/>
      <c r="D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</row>
    <row r="68" spans="1:45" x14ac:dyDescent="0.25">
      <c r="A68" s="48" t="s">
        <v>808</v>
      </c>
      <c r="C68"/>
      <c r="D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</row>
    <row r="69" spans="1:45" x14ac:dyDescent="0.25">
      <c r="A69" s="1" t="s">
        <v>0</v>
      </c>
      <c r="B69" s="1" t="s">
        <v>1</v>
      </c>
      <c r="C69" s="23" t="s">
        <v>2</v>
      </c>
      <c r="D69" s="13" t="s">
        <v>3</v>
      </c>
      <c r="E69" s="1" t="s">
        <v>4</v>
      </c>
      <c r="F69" s="1" t="s">
        <v>5</v>
      </c>
      <c r="G69" s="13" t="s">
        <v>6</v>
      </c>
      <c r="H69" s="13" t="s">
        <v>7</v>
      </c>
      <c r="I69" s="18" t="s">
        <v>8</v>
      </c>
      <c r="J69" s="13" t="s">
        <v>9</v>
      </c>
      <c r="K69" s="13" t="s">
        <v>10</v>
      </c>
      <c r="L69" s="13" t="s">
        <v>11</v>
      </c>
      <c r="M69" s="28" t="s">
        <v>12</v>
      </c>
      <c r="N69" s="32" t="s">
        <v>13</v>
      </c>
      <c r="O69" s="37" t="s">
        <v>14</v>
      </c>
      <c r="P69" s="37" t="s">
        <v>15</v>
      </c>
      <c r="Q69" s="13" t="s">
        <v>16</v>
      </c>
      <c r="R69" s="13" t="s">
        <v>17</v>
      </c>
      <c r="S69" s="42" t="s">
        <v>18</v>
      </c>
      <c r="T69" s="37" t="s">
        <v>19</v>
      </c>
      <c r="U69" s="3" t="s">
        <v>20</v>
      </c>
      <c r="V69" s="1" t="s">
        <v>21</v>
      </c>
      <c r="W69" s="1" t="s">
        <v>22</v>
      </c>
      <c r="X69" s="1" t="s">
        <v>23</v>
      </c>
      <c r="Y69" s="1" t="s">
        <v>24</v>
      </c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</row>
    <row r="70" spans="1:45" ht="15.75" thickBot="1" x14ac:dyDescent="0.3">
      <c r="A70" t="s">
        <v>132</v>
      </c>
      <c r="B70" t="s">
        <v>133</v>
      </c>
      <c r="C70" s="24">
        <v>45160</v>
      </c>
      <c r="D70" s="14">
        <v>250000</v>
      </c>
      <c r="E70" t="s">
        <v>27</v>
      </c>
      <c r="F70" t="s">
        <v>28</v>
      </c>
      <c r="G70" s="14">
        <v>250000</v>
      </c>
      <c r="H70" s="14">
        <v>132100</v>
      </c>
      <c r="I70" s="19">
        <f t="shared" ref="I70" si="8">H70/G70*100</f>
        <v>52.839999999999996</v>
      </c>
      <c r="J70" s="14">
        <v>264126</v>
      </c>
      <c r="K70" s="14">
        <f>G70-85626</f>
        <v>164374</v>
      </c>
      <c r="L70" s="14">
        <v>178500</v>
      </c>
      <c r="M70" s="29">
        <v>0</v>
      </c>
      <c r="N70" s="33">
        <v>0</v>
      </c>
      <c r="O70" s="38">
        <v>2.7</v>
      </c>
      <c r="P70" s="38">
        <v>2.7</v>
      </c>
      <c r="Q70" s="14" t="e">
        <f t="shared" ref="Q70" si="9">K70/M70</f>
        <v>#DIV/0!</v>
      </c>
      <c r="R70" s="14">
        <f t="shared" ref="R70" si="10">K70/O70</f>
        <v>60879.259259259255</v>
      </c>
      <c r="S70" s="43">
        <f t="shared" ref="S70" si="11">K70/O70/43560</f>
        <v>1.3975954834540691</v>
      </c>
      <c r="T70" s="38">
        <v>0</v>
      </c>
      <c r="U70" s="5" t="s">
        <v>29</v>
      </c>
      <c r="V70" t="s">
        <v>134</v>
      </c>
      <c r="X70" t="s">
        <v>47</v>
      </c>
      <c r="Y70" s="6" t="s">
        <v>32</v>
      </c>
    </row>
    <row r="71" spans="1:45" ht="15.75" thickTop="1" x14ac:dyDescent="0.25">
      <c r="A71" s="7"/>
      <c r="B71" s="7"/>
      <c r="C71" s="25" t="s">
        <v>769</v>
      </c>
      <c r="D71" s="15">
        <f>+SUM(D70:D70)</f>
        <v>250000</v>
      </c>
      <c r="E71" s="7"/>
      <c r="F71" s="7"/>
      <c r="G71" s="15">
        <f>+SUM(G70:G70)</f>
        <v>250000</v>
      </c>
      <c r="H71" s="15">
        <f>+SUM(H70:H70)</f>
        <v>132100</v>
      </c>
      <c r="I71" s="20"/>
      <c r="J71" s="15">
        <f>+SUM(J70:J70)</f>
        <v>264126</v>
      </c>
      <c r="K71" s="15">
        <f>+SUM(K70:K70)</f>
        <v>164374</v>
      </c>
      <c r="L71" s="15">
        <f>+SUM(L70:L70)</f>
        <v>178500</v>
      </c>
      <c r="M71" s="30">
        <f>+SUM(M70:M70)</f>
        <v>0</v>
      </c>
      <c r="N71" s="34"/>
      <c r="O71" s="39">
        <f>+SUM(O70:O70)</f>
        <v>2.7</v>
      </c>
      <c r="P71" s="39">
        <f>+SUM(P70:P70)</f>
        <v>2.7</v>
      </c>
      <c r="Q71" s="15"/>
      <c r="R71" s="15"/>
      <c r="S71" s="44"/>
      <c r="T71" s="39"/>
      <c r="U71" s="8"/>
      <c r="V71" s="7"/>
      <c r="W71" s="7"/>
      <c r="X71" s="7"/>
      <c r="Y71" s="7"/>
    </row>
    <row r="72" spans="1:45" x14ac:dyDescent="0.25">
      <c r="A72" s="9"/>
      <c r="B72" s="9"/>
      <c r="C72" s="26"/>
      <c r="D72" s="16"/>
      <c r="E72" s="9"/>
      <c r="F72" s="9"/>
      <c r="G72" s="16"/>
      <c r="H72" s="16" t="s">
        <v>770</v>
      </c>
      <c r="I72" s="21">
        <f>H71/G71*100</f>
        <v>52.839999999999996</v>
      </c>
      <c r="J72" s="16"/>
      <c r="K72" s="16"/>
      <c r="L72" s="16" t="s">
        <v>771</v>
      </c>
      <c r="M72" s="31"/>
      <c r="N72" s="35"/>
      <c r="O72" s="40" t="s">
        <v>771</v>
      </c>
      <c r="P72" s="40"/>
      <c r="Q72" s="16"/>
      <c r="R72" s="16" t="s">
        <v>771</v>
      </c>
      <c r="S72" s="45"/>
      <c r="T72" s="40"/>
      <c r="U72" s="10"/>
      <c r="V72" s="9"/>
      <c r="W72" s="9"/>
      <c r="X72" s="9"/>
      <c r="Y72" s="9"/>
    </row>
    <row r="73" spans="1:45" x14ac:dyDescent="0.25">
      <c r="A73" s="11"/>
      <c r="B73" s="11"/>
      <c r="C73" s="27"/>
      <c r="D73" s="17"/>
      <c r="E73" s="11"/>
      <c r="F73" s="11"/>
      <c r="G73" s="17"/>
      <c r="H73" s="17" t="s">
        <v>772</v>
      </c>
      <c r="I73" s="22" t="e">
        <f>STDEV(I70:I70)</f>
        <v>#DIV/0!</v>
      </c>
      <c r="J73" s="17"/>
      <c r="K73" s="17"/>
      <c r="L73" s="17" t="s">
        <v>773</v>
      </c>
      <c r="M73" s="47" t="e">
        <f>K71/M71</f>
        <v>#DIV/0!</v>
      </c>
      <c r="N73" s="36"/>
      <c r="O73" s="41" t="s">
        <v>774</v>
      </c>
      <c r="P73" s="41">
        <f>K71/O71</f>
        <v>60879.259259259255</v>
      </c>
      <c r="Q73" s="17"/>
      <c r="R73" s="17" t="s">
        <v>775</v>
      </c>
      <c r="S73" s="46">
        <f>K71/O71/43560</f>
        <v>1.3975954834540691</v>
      </c>
      <c r="T73" s="41"/>
      <c r="U73" s="12"/>
      <c r="V73" s="11"/>
      <c r="W73" s="11"/>
      <c r="X73" s="11"/>
      <c r="Y73" s="11"/>
    </row>
    <row r="74" spans="1:45" x14ac:dyDescent="0.25">
      <c r="A74" t="s">
        <v>817</v>
      </c>
      <c r="C74"/>
      <c r="D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</row>
    <row r="75" spans="1:45" x14ac:dyDescent="0.25">
      <c r="C75"/>
      <c r="D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</row>
    <row r="76" spans="1:45" x14ac:dyDescent="0.25">
      <c r="A76" s="48" t="s">
        <v>809</v>
      </c>
      <c r="C76"/>
      <c r="D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</row>
    <row r="77" spans="1:45" x14ac:dyDescent="0.25">
      <c r="A77" s="1" t="s">
        <v>0</v>
      </c>
      <c r="B77" s="1" t="s">
        <v>1</v>
      </c>
      <c r="C77" s="23" t="s">
        <v>2</v>
      </c>
      <c r="D77" s="13" t="s">
        <v>3</v>
      </c>
      <c r="E77" s="1" t="s">
        <v>4</v>
      </c>
      <c r="F77" s="1" t="s">
        <v>5</v>
      </c>
      <c r="G77" s="13" t="s">
        <v>6</v>
      </c>
      <c r="H77" s="13" t="s">
        <v>7</v>
      </c>
      <c r="I77" s="18" t="s">
        <v>8</v>
      </c>
      <c r="J77" s="13" t="s">
        <v>9</v>
      </c>
      <c r="K77" s="13" t="s">
        <v>10</v>
      </c>
      <c r="L77" s="13" t="s">
        <v>11</v>
      </c>
      <c r="M77" s="28" t="s">
        <v>12</v>
      </c>
      <c r="N77" s="32" t="s">
        <v>13</v>
      </c>
      <c r="O77" s="37" t="s">
        <v>14</v>
      </c>
      <c r="P77" s="37" t="s">
        <v>15</v>
      </c>
      <c r="Q77" s="13" t="s">
        <v>16</v>
      </c>
      <c r="R77" s="13" t="s">
        <v>17</v>
      </c>
      <c r="S77" s="42" t="s">
        <v>18</v>
      </c>
      <c r="T77" s="37" t="s">
        <v>19</v>
      </c>
      <c r="U77" s="3" t="s">
        <v>20</v>
      </c>
      <c r="V77" s="1" t="s">
        <v>21</v>
      </c>
      <c r="W77" s="1" t="s">
        <v>22</v>
      </c>
      <c r="X77" s="1" t="s">
        <v>23</v>
      </c>
      <c r="Y77" s="1" t="s">
        <v>24</v>
      </c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</row>
    <row r="78" spans="1:45" x14ac:dyDescent="0.25">
      <c r="A78" t="s">
        <v>225</v>
      </c>
      <c r="B78" t="s">
        <v>226</v>
      </c>
      <c r="C78" s="24">
        <v>44397</v>
      </c>
      <c r="D78" s="14">
        <v>135000</v>
      </c>
      <c r="E78" t="s">
        <v>27</v>
      </c>
      <c r="F78" t="s">
        <v>42</v>
      </c>
      <c r="G78" s="14">
        <v>135000</v>
      </c>
      <c r="H78" s="14">
        <v>67200</v>
      </c>
      <c r="I78" s="19">
        <f t="shared" ref="I78:I79" si="12">H78/G78*100</f>
        <v>49.777777777777779</v>
      </c>
      <c r="J78" s="14">
        <v>185400</v>
      </c>
      <c r="K78" s="14">
        <f>G78-0</f>
        <v>135000</v>
      </c>
      <c r="L78" s="14">
        <v>134250</v>
      </c>
      <c r="M78" s="29">
        <v>0</v>
      </c>
      <c r="N78" s="33">
        <v>0</v>
      </c>
      <c r="O78" s="38">
        <v>3.1</v>
      </c>
      <c r="P78" s="38">
        <v>1.84</v>
      </c>
      <c r="Q78" s="14" t="e">
        <f t="shared" ref="Q78:Q79" si="13">K78/M78</f>
        <v>#DIV/0!</v>
      </c>
      <c r="R78" s="14">
        <f t="shared" ref="R78:R79" si="14">K78/O78</f>
        <v>43548.38709677419</v>
      </c>
      <c r="S78" s="43">
        <f t="shared" ref="S78:S79" si="15">K78/O78/43560</f>
        <v>0.99973340442548642</v>
      </c>
      <c r="T78" s="38">
        <v>0</v>
      </c>
      <c r="U78" s="5" t="s">
        <v>29</v>
      </c>
      <c r="V78" t="s">
        <v>227</v>
      </c>
      <c r="W78" t="s">
        <v>228</v>
      </c>
      <c r="X78" t="s">
        <v>47</v>
      </c>
      <c r="Y78" s="6" t="s">
        <v>32</v>
      </c>
    </row>
    <row r="79" spans="1:45" ht="15.75" thickBot="1" x14ac:dyDescent="0.3">
      <c r="A79" t="s">
        <v>236</v>
      </c>
      <c r="B79" t="s">
        <v>237</v>
      </c>
      <c r="C79" s="24">
        <v>44713</v>
      </c>
      <c r="D79" s="14">
        <v>478750</v>
      </c>
      <c r="E79" t="s">
        <v>27</v>
      </c>
      <c r="F79" t="s">
        <v>28</v>
      </c>
      <c r="G79" s="14">
        <v>478750</v>
      </c>
      <c r="H79" s="14">
        <v>170800</v>
      </c>
      <c r="I79" s="19">
        <f t="shared" si="12"/>
        <v>35.676240208877289</v>
      </c>
      <c r="J79" s="14">
        <v>341554</v>
      </c>
      <c r="K79" s="14">
        <f>G79-249634</f>
        <v>229116</v>
      </c>
      <c r="L79" s="14">
        <v>91920</v>
      </c>
      <c r="M79" s="29">
        <v>0</v>
      </c>
      <c r="N79" s="33">
        <v>0</v>
      </c>
      <c r="O79" s="38">
        <v>3.48</v>
      </c>
      <c r="P79" s="38">
        <v>3.48</v>
      </c>
      <c r="Q79" s="14" t="e">
        <f t="shared" si="13"/>
        <v>#DIV/0!</v>
      </c>
      <c r="R79" s="14">
        <f t="shared" si="14"/>
        <v>65837.931034482754</v>
      </c>
      <c r="S79" s="43">
        <f t="shared" si="15"/>
        <v>1.5114309236566288</v>
      </c>
      <c r="T79" s="38">
        <v>0</v>
      </c>
      <c r="U79" s="5" t="s">
        <v>29</v>
      </c>
      <c r="V79" t="s">
        <v>238</v>
      </c>
      <c r="X79" t="s">
        <v>47</v>
      </c>
      <c r="Y79" s="6" t="s">
        <v>32</v>
      </c>
    </row>
    <row r="80" spans="1:45" ht="15.75" thickTop="1" x14ac:dyDescent="0.25">
      <c r="A80" s="7"/>
      <c r="B80" s="7"/>
      <c r="C80" s="25" t="s">
        <v>769</v>
      </c>
      <c r="D80" s="15">
        <f>+SUM(D78:D79)</f>
        <v>613750</v>
      </c>
      <c r="E80" s="7"/>
      <c r="F80" s="7"/>
      <c r="G80" s="15">
        <f>+SUM(G78:G79)</f>
        <v>613750</v>
      </c>
      <c r="H80" s="15">
        <f>+SUM(H78:H79)</f>
        <v>238000</v>
      </c>
      <c r="I80" s="20"/>
      <c r="J80" s="15">
        <f>+SUM(J78:J79)</f>
        <v>526954</v>
      </c>
      <c r="K80" s="15">
        <f>+SUM(K78:K79)</f>
        <v>364116</v>
      </c>
      <c r="L80" s="15">
        <f>+SUM(L78:L79)</f>
        <v>226170</v>
      </c>
      <c r="M80" s="30">
        <f>+SUM(M78:M79)</f>
        <v>0</v>
      </c>
      <c r="N80" s="34"/>
      <c r="O80" s="39">
        <f>+SUM(O78:O79)</f>
        <v>6.58</v>
      </c>
      <c r="P80" s="39">
        <f>+SUM(P78:P79)</f>
        <v>5.32</v>
      </c>
      <c r="Q80" s="15"/>
      <c r="R80" s="15"/>
      <c r="S80" s="44"/>
      <c r="T80" s="39"/>
      <c r="U80" s="8"/>
      <c r="V80" s="7"/>
      <c r="W80" s="7"/>
      <c r="X80" s="7"/>
      <c r="Y80" s="7"/>
    </row>
    <row r="81" spans="1:45" x14ac:dyDescent="0.25">
      <c r="A81" s="9"/>
      <c r="B81" s="9"/>
      <c r="C81" s="26"/>
      <c r="D81" s="16"/>
      <c r="E81" s="9"/>
      <c r="F81" s="9"/>
      <c r="G81" s="16"/>
      <c r="H81" s="16" t="s">
        <v>770</v>
      </c>
      <c r="I81" s="21">
        <f>H80/G80*100</f>
        <v>38.778004073319757</v>
      </c>
      <c r="J81" s="16"/>
      <c r="K81" s="16"/>
      <c r="L81" s="16" t="s">
        <v>771</v>
      </c>
      <c r="M81" s="31"/>
      <c r="N81" s="35"/>
      <c r="O81" s="40" t="s">
        <v>771</v>
      </c>
      <c r="P81" s="40"/>
      <c r="Q81" s="16"/>
      <c r="R81" s="16" t="s">
        <v>771</v>
      </c>
      <c r="S81" s="45"/>
      <c r="T81" s="40"/>
      <c r="U81" s="10"/>
      <c r="V81" s="9"/>
      <c r="W81" s="9"/>
      <c r="X81" s="9"/>
      <c r="Y81" s="9"/>
    </row>
    <row r="82" spans="1:45" x14ac:dyDescent="0.25">
      <c r="A82" s="11"/>
      <c r="B82" s="11"/>
      <c r="C82" s="27"/>
      <c r="D82" s="17"/>
      <c r="E82" s="11"/>
      <c r="F82" s="11"/>
      <c r="G82" s="17"/>
      <c r="H82" s="17" t="s">
        <v>772</v>
      </c>
      <c r="I82" s="22">
        <f>STDEV(I78:I79)</f>
        <v>9.9712928401264325</v>
      </c>
      <c r="J82" s="17"/>
      <c r="K82" s="17"/>
      <c r="L82" s="17" t="s">
        <v>773</v>
      </c>
      <c r="M82" s="47" t="e">
        <f>K80/M80</f>
        <v>#DIV/0!</v>
      </c>
      <c r="N82" s="36"/>
      <c r="O82" s="41" t="s">
        <v>774</v>
      </c>
      <c r="P82" s="41">
        <f>K80/O80</f>
        <v>55336.778115501518</v>
      </c>
      <c r="Q82" s="17"/>
      <c r="R82" s="17" t="s">
        <v>775</v>
      </c>
      <c r="S82" s="46">
        <f>K80/O80/43560</f>
        <v>1.2703576243228081</v>
      </c>
      <c r="T82" s="41"/>
      <c r="U82" s="12"/>
      <c r="V82" s="11"/>
      <c r="W82" s="11"/>
      <c r="X82" s="11"/>
      <c r="Y82" s="11"/>
    </row>
    <row r="83" spans="1:45" x14ac:dyDescent="0.25">
      <c r="A83" t="s">
        <v>817</v>
      </c>
      <c r="C83"/>
      <c r="D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</row>
    <row r="84" spans="1:45" x14ac:dyDescent="0.25">
      <c r="C84"/>
      <c r="D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</row>
    <row r="85" spans="1:45" x14ac:dyDescent="0.25">
      <c r="A85" s="48" t="s">
        <v>810</v>
      </c>
      <c r="C85"/>
      <c r="D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</row>
    <row r="86" spans="1:45" x14ac:dyDescent="0.25">
      <c r="A86" t="s">
        <v>817</v>
      </c>
      <c r="C86"/>
      <c r="D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</row>
    <row r="87" spans="1:45" x14ac:dyDescent="0.25">
      <c r="C87"/>
      <c r="D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</row>
    <row r="88" spans="1:45" x14ac:dyDescent="0.25">
      <c r="A88" s="48" t="s">
        <v>811</v>
      </c>
      <c r="C88"/>
      <c r="D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</row>
    <row r="89" spans="1:45" x14ac:dyDescent="0.25">
      <c r="A89" t="s">
        <v>817</v>
      </c>
      <c r="C89"/>
      <c r="D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</row>
    <row r="90" spans="1:45" x14ac:dyDescent="0.25">
      <c r="C90"/>
      <c r="D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</row>
    <row r="91" spans="1:45" x14ac:dyDescent="0.25">
      <c r="A91" s="48" t="s">
        <v>812</v>
      </c>
      <c r="C91"/>
      <c r="D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</row>
    <row r="92" spans="1:45" x14ac:dyDescent="0.25">
      <c r="A92" s="1" t="s">
        <v>0</v>
      </c>
      <c r="B92" s="1" t="s">
        <v>1</v>
      </c>
      <c r="C92" s="23" t="s">
        <v>2</v>
      </c>
      <c r="D92" s="13" t="s">
        <v>3</v>
      </c>
      <c r="E92" s="1" t="s">
        <v>4</v>
      </c>
      <c r="F92" s="1" t="s">
        <v>5</v>
      </c>
      <c r="G92" s="13" t="s">
        <v>6</v>
      </c>
      <c r="H92" s="13" t="s">
        <v>7</v>
      </c>
      <c r="I92" s="18" t="s">
        <v>8</v>
      </c>
      <c r="J92" s="13" t="s">
        <v>9</v>
      </c>
      <c r="K92" s="13" t="s">
        <v>10</v>
      </c>
      <c r="L92" s="13" t="s">
        <v>11</v>
      </c>
      <c r="M92" s="28" t="s">
        <v>12</v>
      </c>
      <c r="N92" s="32" t="s">
        <v>13</v>
      </c>
      <c r="O92" s="37" t="s">
        <v>14</v>
      </c>
      <c r="P92" s="37" t="s">
        <v>15</v>
      </c>
      <c r="Q92" s="13" t="s">
        <v>16</v>
      </c>
      <c r="R92" s="13" t="s">
        <v>17</v>
      </c>
      <c r="S92" s="42" t="s">
        <v>18</v>
      </c>
      <c r="T92" s="37" t="s">
        <v>19</v>
      </c>
      <c r="U92" s="3" t="s">
        <v>20</v>
      </c>
      <c r="V92" s="1" t="s">
        <v>21</v>
      </c>
      <c r="W92" s="1" t="s">
        <v>22</v>
      </c>
      <c r="X92" s="1" t="s">
        <v>23</v>
      </c>
      <c r="Y92" s="1" t="s">
        <v>24</v>
      </c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</row>
    <row r="93" spans="1:45" ht="15.75" thickBot="1" x14ac:dyDescent="0.3">
      <c r="A93" t="s">
        <v>690</v>
      </c>
      <c r="B93" t="s">
        <v>691</v>
      </c>
      <c r="C93" s="24">
        <v>44365</v>
      </c>
      <c r="D93" s="14">
        <v>500000</v>
      </c>
      <c r="E93" t="s">
        <v>27</v>
      </c>
      <c r="F93" t="s">
        <v>28</v>
      </c>
      <c r="G93" s="14">
        <v>500000</v>
      </c>
      <c r="H93" s="14">
        <v>153600</v>
      </c>
      <c r="I93" s="19">
        <f t="shared" ref="I93" si="16">H93/G93*100</f>
        <v>30.72</v>
      </c>
      <c r="J93" s="14">
        <v>307277</v>
      </c>
      <c r="K93" s="14">
        <f>G93-199310</f>
        <v>300690</v>
      </c>
      <c r="L93" s="14">
        <v>107967</v>
      </c>
      <c r="M93" s="29">
        <v>0</v>
      </c>
      <c r="N93" s="33">
        <v>0</v>
      </c>
      <c r="O93" s="38">
        <v>8.7799999999999994</v>
      </c>
      <c r="P93" s="38">
        <v>8.7799999999999994</v>
      </c>
      <c r="Q93" s="14" t="e">
        <f t="shared" ref="Q93" si="17">K93/M93</f>
        <v>#DIV/0!</v>
      </c>
      <c r="R93" s="14">
        <f t="shared" ref="R93" si="18">K93/O93</f>
        <v>34247.152619589979</v>
      </c>
      <c r="S93" s="43">
        <f t="shared" ref="S93" si="19">K93/O93/43560</f>
        <v>0.78620644213934754</v>
      </c>
      <c r="T93" s="38">
        <v>0</v>
      </c>
      <c r="U93" s="5" t="s">
        <v>615</v>
      </c>
      <c r="V93" t="s">
        <v>692</v>
      </c>
      <c r="X93" t="s">
        <v>670</v>
      </c>
      <c r="Y93" s="6" t="s">
        <v>32</v>
      </c>
    </row>
    <row r="94" spans="1:45" ht="15.75" thickTop="1" x14ac:dyDescent="0.25">
      <c r="A94" s="7"/>
      <c r="B94" s="7"/>
      <c r="C94" s="25" t="s">
        <v>769</v>
      </c>
      <c r="D94" s="15">
        <f>+SUM(D93:D93)</f>
        <v>500000</v>
      </c>
      <c r="E94" s="7"/>
      <c r="F94" s="7"/>
      <c r="G94" s="15">
        <f>+SUM(G93:G93)</f>
        <v>500000</v>
      </c>
      <c r="H94" s="15">
        <f>+SUM(H93:H93)</f>
        <v>153600</v>
      </c>
      <c r="I94" s="20"/>
      <c r="J94" s="15">
        <f>+SUM(J93:J93)</f>
        <v>307277</v>
      </c>
      <c r="K94" s="15">
        <f>+SUM(K93:K93)</f>
        <v>300690</v>
      </c>
      <c r="L94" s="15">
        <f>+SUM(L93:L93)</f>
        <v>107967</v>
      </c>
      <c r="M94" s="30">
        <f>+SUM(M93:M93)</f>
        <v>0</v>
      </c>
      <c r="N94" s="34"/>
      <c r="O94" s="39">
        <f>+SUM(O93:O93)</f>
        <v>8.7799999999999994</v>
      </c>
      <c r="P94" s="39">
        <f>+SUM(P93:P93)</f>
        <v>8.7799999999999994</v>
      </c>
      <c r="Q94" s="15"/>
      <c r="R94" s="15"/>
      <c r="S94" s="44"/>
      <c r="T94" s="39"/>
      <c r="U94" s="8"/>
      <c r="V94" s="7"/>
      <c r="W94" s="7"/>
      <c r="X94" s="7"/>
      <c r="Y94" s="7"/>
    </row>
    <row r="95" spans="1:45" x14ac:dyDescent="0.25">
      <c r="A95" s="9"/>
      <c r="B95" s="9"/>
      <c r="C95" s="26"/>
      <c r="D95" s="16"/>
      <c r="E95" s="9"/>
      <c r="F95" s="9"/>
      <c r="G95" s="16"/>
      <c r="H95" s="16" t="s">
        <v>770</v>
      </c>
      <c r="I95" s="21">
        <f>H94/G94*100</f>
        <v>30.72</v>
      </c>
      <c r="J95" s="16"/>
      <c r="K95" s="16"/>
      <c r="L95" s="16" t="s">
        <v>771</v>
      </c>
      <c r="M95" s="31"/>
      <c r="N95" s="35"/>
      <c r="O95" s="40" t="s">
        <v>771</v>
      </c>
      <c r="P95" s="40"/>
      <c r="Q95" s="16"/>
      <c r="R95" s="16" t="s">
        <v>771</v>
      </c>
      <c r="S95" s="45"/>
      <c r="T95" s="40"/>
      <c r="U95" s="10"/>
      <c r="V95" s="9"/>
      <c r="W95" s="9"/>
      <c r="X95" s="9"/>
      <c r="Y95" s="9"/>
    </row>
    <row r="96" spans="1:45" x14ac:dyDescent="0.25">
      <c r="A96" s="11"/>
      <c r="B96" s="11"/>
      <c r="C96" s="27"/>
      <c r="D96" s="17"/>
      <c r="E96" s="11"/>
      <c r="F96" s="11"/>
      <c r="G96" s="17"/>
      <c r="H96" s="17" t="s">
        <v>772</v>
      </c>
      <c r="I96" s="22" t="e">
        <f>STDEV(I93:I93)</f>
        <v>#DIV/0!</v>
      </c>
      <c r="J96" s="17"/>
      <c r="K96" s="17"/>
      <c r="L96" s="17" t="s">
        <v>773</v>
      </c>
      <c r="M96" s="47" t="e">
        <f>K94/M94</f>
        <v>#DIV/0!</v>
      </c>
      <c r="N96" s="36"/>
      <c r="O96" s="41" t="s">
        <v>774</v>
      </c>
      <c r="P96" s="41">
        <f>K94/O94</f>
        <v>34247.152619589979</v>
      </c>
      <c r="Q96" s="17"/>
      <c r="R96" s="17" t="s">
        <v>775</v>
      </c>
      <c r="S96" s="46">
        <f>K94/O94/43560</f>
        <v>0.78620644213934754</v>
      </c>
      <c r="T96" s="41"/>
      <c r="U96" s="12"/>
      <c r="V96" s="11"/>
      <c r="W96" s="11"/>
      <c r="X96" s="11"/>
      <c r="Y96" s="11"/>
    </row>
    <row r="97" spans="1:21" x14ac:dyDescent="0.25">
      <c r="A97" t="s">
        <v>817</v>
      </c>
      <c r="C97"/>
      <c r="D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</row>
    <row r="98" spans="1:21" x14ac:dyDescent="0.25">
      <c r="C98"/>
      <c r="D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</row>
    <row r="99" spans="1:21" x14ac:dyDescent="0.25">
      <c r="A99" s="48" t="s">
        <v>813</v>
      </c>
      <c r="C99"/>
      <c r="D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</row>
    <row r="100" spans="1:21" x14ac:dyDescent="0.25">
      <c r="A100" t="s">
        <v>817</v>
      </c>
      <c r="C100"/>
      <c r="D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</row>
    <row r="101" spans="1:21" x14ac:dyDescent="0.25">
      <c r="C101"/>
      <c r="D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</row>
    <row r="102" spans="1:21" x14ac:dyDescent="0.25">
      <c r="A102" s="48" t="s">
        <v>814</v>
      </c>
      <c r="C102"/>
      <c r="D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</row>
    <row r="103" spans="1:21" x14ac:dyDescent="0.25">
      <c r="A103" t="s">
        <v>817</v>
      </c>
      <c r="C103"/>
      <c r="D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</row>
    <row r="104" spans="1:21" x14ac:dyDescent="0.25">
      <c r="C104"/>
      <c r="D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</row>
    <row r="105" spans="1:21" x14ac:dyDescent="0.25">
      <c r="A105" s="48" t="s">
        <v>815</v>
      </c>
      <c r="C105"/>
      <c r="D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</row>
    <row r="106" spans="1:21" x14ac:dyDescent="0.25">
      <c r="A106" t="s">
        <v>817</v>
      </c>
      <c r="C106"/>
      <c r="D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</row>
    <row r="107" spans="1:21" x14ac:dyDescent="0.25">
      <c r="C107"/>
      <c r="D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</row>
    <row r="108" spans="1:21" x14ac:dyDescent="0.25">
      <c r="A108" s="48" t="s">
        <v>816</v>
      </c>
      <c r="C108"/>
      <c r="D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</row>
    <row r="109" spans="1:21" x14ac:dyDescent="0.25">
      <c r="A109" t="s">
        <v>817</v>
      </c>
      <c r="C109"/>
      <c r="D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</row>
    <row r="110" spans="1:21" x14ac:dyDescent="0.25">
      <c r="C110"/>
      <c r="D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</row>
    <row r="111" spans="1:21" x14ac:dyDescent="0.25">
      <c r="A111" s="48" t="s">
        <v>818</v>
      </c>
      <c r="C111"/>
      <c r="D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</row>
    <row r="112" spans="1:21" x14ac:dyDescent="0.25">
      <c r="A112" t="s">
        <v>817</v>
      </c>
      <c r="C112"/>
      <c r="D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</row>
    <row r="113" spans="1:21" x14ac:dyDescent="0.25">
      <c r="C113"/>
      <c r="D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</row>
    <row r="114" spans="1:21" x14ac:dyDescent="0.25">
      <c r="A114" s="48" t="s">
        <v>819</v>
      </c>
      <c r="C114"/>
      <c r="D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</row>
    <row r="115" spans="1:21" x14ac:dyDescent="0.25">
      <c r="A115" t="s">
        <v>817</v>
      </c>
      <c r="C115"/>
      <c r="D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</row>
    <row r="116" spans="1:21" x14ac:dyDescent="0.25">
      <c r="C116"/>
      <c r="D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</row>
    <row r="117" spans="1:21" x14ac:dyDescent="0.25">
      <c r="A117" s="48" t="s">
        <v>820</v>
      </c>
      <c r="C117"/>
      <c r="D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</row>
    <row r="118" spans="1:21" x14ac:dyDescent="0.25">
      <c r="A118" t="s">
        <v>817</v>
      </c>
      <c r="C118"/>
      <c r="D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</row>
    <row r="119" spans="1:21" x14ac:dyDescent="0.25">
      <c r="C119"/>
      <c r="D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</row>
    <row r="120" spans="1:21" x14ac:dyDescent="0.25">
      <c r="C120"/>
      <c r="D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</row>
    <row r="121" spans="1:21" x14ac:dyDescent="0.25">
      <c r="A121" s="48" t="s">
        <v>821</v>
      </c>
      <c r="C121"/>
      <c r="D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</row>
    <row r="122" spans="1:21" x14ac:dyDescent="0.25">
      <c r="A122" t="s">
        <v>817</v>
      </c>
      <c r="C122"/>
      <c r="D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</row>
    <row r="123" spans="1:21" x14ac:dyDescent="0.25">
      <c r="A123" s="48"/>
      <c r="C123"/>
      <c r="D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</row>
    <row r="124" spans="1:21" x14ac:dyDescent="0.25">
      <c r="A124" s="48"/>
      <c r="C124"/>
      <c r="D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</row>
    <row r="125" spans="1:21" x14ac:dyDescent="0.25">
      <c r="A125" s="48"/>
      <c r="C125"/>
      <c r="D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</row>
    <row r="126" spans="1:21" x14ac:dyDescent="0.25">
      <c r="A126" s="48"/>
      <c r="C126"/>
      <c r="D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</row>
    <row r="127" spans="1:21" x14ac:dyDescent="0.25">
      <c r="A127" s="48"/>
      <c r="C127"/>
      <c r="D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</row>
    <row r="128" spans="1:21" x14ac:dyDescent="0.25">
      <c r="A128" s="48"/>
      <c r="C128"/>
      <c r="D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</row>
    <row r="129" spans="1:21" x14ac:dyDescent="0.25">
      <c r="A129" s="48"/>
      <c r="C129"/>
      <c r="D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</row>
    <row r="130" spans="1:21" x14ac:dyDescent="0.25">
      <c r="C130"/>
      <c r="D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</row>
    <row r="131" spans="1:21" x14ac:dyDescent="0.25">
      <c r="C131"/>
      <c r="D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</row>
    <row r="132" spans="1:21" x14ac:dyDescent="0.25">
      <c r="A132" s="62" t="s">
        <v>822</v>
      </c>
      <c r="B132" s="76" t="s">
        <v>791</v>
      </c>
      <c r="C132" s="64"/>
      <c r="D132" s="65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</row>
    <row r="133" spans="1:21" ht="33" customHeight="1" x14ac:dyDescent="0.25">
      <c r="A133" s="66" t="s">
        <v>823</v>
      </c>
      <c r="B133" s="67" t="s">
        <v>824</v>
      </c>
      <c r="C133" s="68" t="s">
        <v>825</v>
      </c>
      <c r="D133" s="68" t="s">
        <v>826</v>
      </c>
      <c r="E133" s="48"/>
      <c r="F133" s="68" t="s">
        <v>827</v>
      </c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</row>
    <row r="134" spans="1:21" x14ac:dyDescent="0.25">
      <c r="A134" s="69">
        <v>1</v>
      </c>
      <c r="B134" s="64">
        <f>P40</f>
        <v>60527.333333333336</v>
      </c>
      <c r="C134" s="70">
        <f>A134*B134</f>
        <v>60527.333333333336</v>
      </c>
      <c r="D134" s="71">
        <v>80000</v>
      </c>
      <c r="E134" s="72">
        <v>1</v>
      </c>
      <c r="F134" s="73">
        <f t="shared" ref="F134:F149" si="20">A134*D134</f>
        <v>80000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</row>
    <row r="135" spans="1:21" x14ac:dyDescent="0.25">
      <c r="A135" s="69">
        <v>1.5</v>
      </c>
      <c r="B135" s="64">
        <f>P53</f>
        <v>94739.252336448597</v>
      </c>
      <c r="C135" s="70">
        <f t="shared" ref="C135:C149" si="21">A135*B135</f>
        <v>142108.8785046729</v>
      </c>
      <c r="D135" s="71">
        <v>72000</v>
      </c>
      <c r="E135" s="74">
        <v>2</v>
      </c>
      <c r="F135" s="73">
        <f t="shared" si="20"/>
        <v>108000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</row>
    <row r="136" spans="1:21" x14ac:dyDescent="0.25">
      <c r="A136" s="69">
        <v>2</v>
      </c>
      <c r="B136" s="64">
        <f>P62</f>
        <v>69038.161559888584</v>
      </c>
      <c r="C136" s="70">
        <f t="shared" si="21"/>
        <v>138076.32311977717</v>
      </c>
      <c r="D136" s="71">
        <v>66000</v>
      </c>
      <c r="E136" s="72">
        <v>3</v>
      </c>
      <c r="F136" s="73">
        <f t="shared" si="20"/>
        <v>132000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</row>
    <row r="137" spans="1:21" x14ac:dyDescent="0.25">
      <c r="A137" s="69">
        <v>2.5</v>
      </c>
      <c r="B137" s="64"/>
      <c r="C137" s="70">
        <f t="shared" si="21"/>
        <v>0</v>
      </c>
      <c r="D137" s="71">
        <v>60000</v>
      </c>
      <c r="E137" s="74">
        <v>4</v>
      </c>
      <c r="F137" s="73">
        <f t="shared" si="20"/>
        <v>150000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</row>
    <row r="138" spans="1:21" x14ac:dyDescent="0.25">
      <c r="A138" s="69">
        <v>3</v>
      </c>
      <c r="B138" s="64">
        <f>P73</f>
        <v>60879.259259259255</v>
      </c>
      <c r="C138" s="70">
        <f t="shared" si="21"/>
        <v>182637.77777777775</v>
      </c>
      <c r="D138" s="71">
        <v>55000</v>
      </c>
      <c r="E138" s="72">
        <v>5</v>
      </c>
      <c r="F138" s="73">
        <f t="shared" si="20"/>
        <v>165000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</row>
    <row r="139" spans="1:21" x14ac:dyDescent="0.25">
      <c r="A139" s="69">
        <v>4</v>
      </c>
      <c r="B139" s="64">
        <f>P82</f>
        <v>55336.778115501518</v>
      </c>
      <c r="C139" s="70">
        <f t="shared" si="21"/>
        <v>221347.11246200607</v>
      </c>
      <c r="D139" s="71">
        <v>48000</v>
      </c>
      <c r="E139" s="74">
        <v>6</v>
      </c>
      <c r="F139" s="73">
        <f t="shared" si="20"/>
        <v>192000</v>
      </c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</row>
    <row r="140" spans="1:21" x14ac:dyDescent="0.25">
      <c r="A140" s="69">
        <v>5</v>
      </c>
      <c r="B140" s="64"/>
      <c r="C140" s="70">
        <f t="shared" si="21"/>
        <v>0</v>
      </c>
      <c r="D140" s="71">
        <v>42000</v>
      </c>
      <c r="E140" s="72">
        <v>7</v>
      </c>
      <c r="F140" s="73">
        <f t="shared" si="20"/>
        <v>210000</v>
      </c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</row>
    <row r="141" spans="1:21" x14ac:dyDescent="0.25">
      <c r="A141" s="69">
        <v>7</v>
      </c>
      <c r="B141" s="64"/>
      <c r="C141" s="70">
        <f t="shared" si="21"/>
        <v>0</v>
      </c>
      <c r="D141" s="71">
        <v>33000</v>
      </c>
      <c r="E141" s="74">
        <v>8</v>
      </c>
      <c r="F141" s="73">
        <f t="shared" si="20"/>
        <v>231000</v>
      </c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</row>
    <row r="142" spans="1:21" x14ac:dyDescent="0.25">
      <c r="A142" s="69">
        <v>10</v>
      </c>
      <c r="B142" s="64">
        <f>P96</f>
        <v>34247.152619589979</v>
      </c>
      <c r="C142" s="70">
        <f t="shared" si="21"/>
        <v>342471.52619589982</v>
      </c>
      <c r="D142" s="71">
        <v>25000</v>
      </c>
      <c r="E142" s="72">
        <v>9</v>
      </c>
      <c r="F142" s="73">
        <f t="shared" si="20"/>
        <v>250000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</row>
    <row r="143" spans="1:21" x14ac:dyDescent="0.25">
      <c r="A143" s="69">
        <v>15</v>
      </c>
      <c r="B143" s="64"/>
      <c r="C143" s="70">
        <f t="shared" si="21"/>
        <v>0</v>
      </c>
      <c r="D143" s="71">
        <v>18000</v>
      </c>
      <c r="E143" s="74">
        <v>10</v>
      </c>
      <c r="F143" s="73">
        <f t="shared" si="20"/>
        <v>270000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</row>
    <row r="144" spans="1:21" x14ac:dyDescent="0.25">
      <c r="A144" s="69">
        <v>20</v>
      </c>
      <c r="B144" s="64"/>
      <c r="C144" s="70">
        <f t="shared" si="21"/>
        <v>0</v>
      </c>
      <c r="D144" s="71">
        <v>14000</v>
      </c>
      <c r="E144" s="72">
        <v>11</v>
      </c>
      <c r="F144" s="73">
        <f t="shared" si="20"/>
        <v>280000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</row>
    <row r="145" spans="1:21" x14ac:dyDescent="0.25">
      <c r="A145" s="69">
        <v>25</v>
      </c>
      <c r="B145" s="64"/>
      <c r="C145" s="70">
        <f t="shared" si="21"/>
        <v>0</v>
      </c>
      <c r="D145" s="71">
        <v>11500</v>
      </c>
      <c r="E145" s="74">
        <v>12</v>
      </c>
      <c r="F145" s="73">
        <f t="shared" si="20"/>
        <v>287500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</row>
    <row r="146" spans="1:21" x14ac:dyDescent="0.25">
      <c r="A146" s="69">
        <v>30</v>
      </c>
      <c r="B146" s="62"/>
      <c r="C146" s="70">
        <f t="shared" si="21"/>
        <v>0</v>
      </c>
      <c r="D146" s="71">
        <v>9600</v>
      </c>
      <c r="E146" s="72">
        <v>13</v>
      </c>
      <c r="F146" s="73">
        <f t="shared" si="20"/>
        <v>288000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</row>
    <row r="147" spans="1:21" x14ac:dyDescent="0.25">
      <c r="A147" s="69">
        <v>40</v>
      </c>
      <c r="B147" s="64"/>
      <c r="C147" s="70">
        <f t="shared" si="21"/>
        <v>0</v>
      </c>
      <c r="D147" s="71">
        <v>7300</v>
      </c>
      <c r="E147" s="74">
        <v>14</v>
      </c>
      <c r="F147" s="73">
        <f t="shared" si="20"/>
        <v>292000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</row>
    <row r="148" spans="1:21" x14ac:dyDescent="0.25">
      <c r="A148" s="69">
        <v>50</v>
      </c>
      <c r="B148" s="64"/>
      <c r="C148" s="70">
        <f t="shared" si="21"/>
        <v>0</v>
      </c>
      <c r="D148" s="71">
        <v>5900</v>
      </c>
      <c r="E148" s="72">
        <v>15</v>
      </c>
      <c r="F148" s="73">
        <f t="shared" si="20"/>
        <v>295000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</row>
    <row r="149" spans="1:21" x14ac:dyDescent="0.25">
      <c r="A149" s="69">
        <v>100</v>
      </c>
      <c r="B149" s="62"/>
      <c r="C149" s="70">
        <f t="shared" si="21"/>
        <v>0</v>
      </c>
      <c r="D149" s="71">
        <v>3000</v>
      </c>
      <c r="E149" s="74">
        <v>16</v>
      </c>
      <c r="F149" s="73">
        <f t="shared" si="20"/>
        <v>300000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</row>
    <row r="150" spans="1:21" x14ac:dyDescent="0.25">
      <c r="B150" s="64"/>
      <c r="C150" s="64"/>
      <c r="D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</row>
    <row r="151" spans="1:21" x14ac:dyDescent="0.25">
      <c r="A151" t="s">
        <v>829</v>
      </c>
      <c r="C151"/>
      <c r="D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</row>
    <row r="152" spans="1:21" x14ac:dyDescent="0.25">
      <c r="A152" t="s">
        <v>830</v>
      </c>
      <c r="C152"/>
      <c r="D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</row>
    <row r="153" spans="1:21" x14ac:dyDescent="0.25">
      <c r="A153" t="s">
        <v>831</v>
      </c>
      <c r="C153"/>
      <c r="D153" s="75">
        <f>SUM(D144:D149)/6</f>
        <v>8550</v>
      </c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</row>
    <row r="154" spans="1:21" x14ac:dyDescent="0.25">
      <c r="C154"/>
      <c r="D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</row>
    <row r="155" spans="1:21" x14ac:dyDescent="0.25">
      <c r="C155"/>
      <c r="D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</row>
    <row r="156" spans="1:21" x14ac:dyDescent="0.25">
      <c r="A156" s="48"/>
      <c r="C156"/>
      <c r="D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</row>
    <row r="157" spans="1:21" x14ac:dyDescent="0.25">
      <c r="C157"/>
      <c r="D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</row>
    <row r="158" spans="1:21" x14ac:dyDescent="0.25">
      <c r="C158"/>
      <c r="D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</row>
    <row r="159" spans="1:21" x14ac:dyDescent="0.25">
      <c r="C159"/>
      <c r="D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</row>
    <row r="160" spans="1:21" x14ac:dyDescent="0.25">
      <c r="A160" s="48"/>
      <c r="C160"/>
      <c r="D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</row>
    <row r="161" spans="1:21" x14ac:dyDescent="0.25">
      <c r="C161"/>
      <c r="D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</row>
    <row r="162" spans="1:21" x14ac:dyDescent="0.25">
      <c r="C162"/>
      <c r="D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</row>
    <row r="163" spans="1:21" x14ac:dyDescent="0.25">
      <c r="C163"/>
      <c r="D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</row>
    <row r="164" spans="1:21" x14ac:dyDescent="0.25">
      <c r="A164" s="48"/>
      <c r="C164"/>
      <c r="D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</row>
    <row r="165" spans="1:21" x14ac:dyDescent="0.25">
      <c r="C165"/>
      <c r="D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</row>
    <row r="166" spans="1:21" x14ac:dyDescent="0.25">
      <c r="C166"/>
      <c r="D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</row>
    <row r="167" spans="1:21" x14ac:dyDescent="0.25">
      <c r="C167"/>
      <c r="D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</row>
    <row r="168" spans="1:21" x14ac:dyDescent="0.25">
      <c r="A168" s="48"/>
      <c r="C168"/>
      <c r="D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</row>
    <row r="169" spans="1:21" x14ac:dyDescent="0.25">
      <c r="C169"/>
      <c r="D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</row>
    <row r="170" spans="1:21" x14ac:dyDescent="0.25">
      <c r="A170" s="48"/>
      <c r="C170"/>
      <c r="D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</row>
    <row r="171" spans="1:21" x14ac:dyDescent="0.25">
      <c r="C171"/>
      <c r="D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</row>
    <row r="172" spans="1:21" x14ac:dyDescent="0.25">
      <c r="A172" s="48"/>
      <c r="C172"/>
      <c r="D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</row>
    <row r="173" spans="1:21" x14ac:dyDescent="0.25"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</row>
    <row r="174" spans="1:21" x14ac:dyDescent="0.25"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</row>
    <row r="175" spans="1:21" x14ac:dyDescent="0.25"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</row>
    <row r="176" spans="1:21" x14ac:dyDescent="0.25"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</row>
    <row r="177" spans="7:21" x14ac:dyDescent="0.25"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</row>
    <row r="178" spans="7:21" x14ac:dyDescent="0.25"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</row>
    <row r="179" spans="7:21" x14ac:dyDescent="0.25"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</row>
    <row r="180" spans="7:21" x14ac:dyDescent="0.25"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</row>
    <row r="181" spans="7:21" x14ac:dyDescent="0.25"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</row>
    <row r="182" spans="7:21" x14ac:dyDescent="0.25"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</row>
    <row r="183" spans="7:21" x14ac:dyDescent="0.25"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</row>
    <row r="184" spans="7:21" x14ac:dyDescent="0.25"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</row>
    <row r="185" spans="7:21" x14ac:dyDescent="0.25"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</row>
    <row r="186" spans="7:21" x14ac:dyDescent="0.25"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</row>
    <row r="187" spans="7:21" x14ac:dyDescent="0.25"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</row>
    <row r="188" spans="7:21" x14ac:dyDescent="0.25"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</row>
    <row r="189" spans="7:21" x14ac:dyDescent="0.25"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</row>
    <row r="190" spans="7:21" x14ac:dyDescent="0.25"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</row>
    <row r="191" spans="7:21" x14ac:dyDescent="0.25"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</row>
    <row r="192" spans="7:21" x14ac:dyDescent="0.25"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</row>
  </sheetData>
  <conditionalFormatting sqref="A3:Y26 A35:Y37 A45:Y50 A58:Y59 A70:Y70 A78:Y79 A93:Y93">
    <cfRule type="expression" dxfId="11" priority="37" stopIfTrue="1">
      <formula>MOD(ROW(),4)&gt;1</formula>
    </cfRule>
    <cfRule type="expression" dxfId="10" priority="38" stopIfTrue="1">
      <formula>MOD(ROW(),4)&lt;2</formula>
    </cfRule>
  </conditionalFormatting>
  <pageMargins left="0.7" right="0.7" top="0.75" bottom="0.75" header="0.3" footer="0.3"/>
  <pageSetup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B9CEB-76FD-477C-80C6-9E6D76F9379E}">
  <dimension ref="A1:AS7"/>
  <sheetViews>
    <sheetView topLeftCell="G1" workbookViewId="0">
      <selection activeCell="Q11" sqref="Q11"/>
    </sheetView>
  </sheetViews>
  <sheetFormatPr defaultRowHeight="15" x14ac:dyDescent="0.25"/>
  <cols>
    <col min="1" max="1" width="18.140625" bestFit="1" customWidth="1"/>
    <col min="2" max="2" width="26.5703125" bestFit="1" customWidth="1"/>
    <col min="3" max="3" width="9.28515625" style="24" bestFit="1" customWidth="1"/>
    <col min="4" max="4" width="11.85546875" style="14" bestFit="1" customWidth="1"/>
    <col min="5" max="5" width="5.5703125" bestFit="1" customWidth="1"/>
    <col min="6" max="6" width="38.42578125" bestFit="1" customWidth="1"/>
    <col min="7" max="7" width="11.85546875" style="14" bestFit="1" customWidth="1"/>
    <col min="8" max="8" width="12.7109375" style="14" bestFit="1" customWidth="1"/>
    <col min="9" max="9" width="12.85546875" style="19" bestFit="1" customWidth="1"/>
    <col min="10" max="10" width="13.42578125" style="14" bestFit="1" customWidth="1"/>
    <col min="11" max="11" width="13.28515625" style="14" bestFit="1" customWidth="1"/>
    <col min="12" max="12" width="14.42578125" style="14" bestFit="1" customWidth="1"/>
    <col min="13" max="13" width="11.140625" style="29" bestFit="1" customWidth="1"/>
    <col min="14" max="14" width="6.42578125" style="33" bestFit="1" customWidth="1"/>
    <col min="15" max="15" width="14.28515625" style="38" bestFit="1" customWidth="1"/>
    <col min="16" max="16" width="10.7109375" style="38" bestFit="1" customWidth="1"/>
    <col min="17" max="17" width="10" style="14" bestFit="1" customWidth="1"/>
    <col min="18" max="18" width="12" style="14" bestFit="1" customWidth="1"/>
    <col min="19" max="19" width="11.85546875" style="43" bestFit="1" customWidth="1"/>
    <col min="20" max="20" width="11.7109375" style="38" bestFit="1" customWidth="1"/>
    <col min="21" max="21" width="8.7109375" style="4" bestFit="1" customWidth="1"/>
    <col min="22" max="22" width="10.5703125" bestFit="1" customWidth="1"/>
    <col min="23" max="23" width="36.5703125" bestFit="1" customWidth="1"/>
    <col min="24" max="24" width="29" bestFit="1" customWidth="1"/>
    <col min="25" max="25" width="5.42578125" bestFit="1" customWidth="1"/>
  </cols>
  <sheetData>
    <row r="1" spans="1:45" x14ac:dyDescent="0.25">
      <c r="A1" s="1" t="s">
        <v>0</v>
      </c>
      <c r="B1" s="1" t="s">
        <v>1</v>
      </c>
      <c r="C1" s="23" t="s">
        <v>2</v>
      </c>
      <c r="D1" s="13" t="s">
        <v>3</v>
      </c>
      <c r="E1" s="1" t="s">
        <v>4</v>
      </c>
      <c r="F1" s="1" t="s">
        <v>5</v>
      </c>
      <c r="G1" s="13" t="s">
        <v>6</v>
      </c>
      <c r="H1" s="13" t="s">
        <v>7</v>
      </c>
      <c r="I1" s="18" t="s">
        <v>8</v>
      </c>
      <c r="J1" s="13" t="s">
        <v>9</v>
      </c>
      <c r="K1" s="13" t="s">
        <v>10</v>
      </c>
      <c r="L1" s="13" t="s">
        <v>11</v>
      </c>
      <c r="M1" s="28" t="s">
        <v>12</v>
      </c>
      <c r="N1" s="32" t="s">
        <v>13</v>
      </c>
      <c r="O1" s="37" t="s">
        <v>14</v>
      </c>
      <c r="P1" s="37" t="s">
        <v>15</v>
      </c>
      <c r="Q1" s="13" t="s">
        <v>16</v>
      </c>
      <c r="R1" s="13" t="s">
        <v>17</v>
      </c>
      <c r="S1" s="42" t="s">
        <v>18</v>
      </c>
      <c r="T1" s="37" t="s">
        <v>19</v>
      </c>
      <c r="U1" s="3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</row>
    <row r="2" spans="1:45" ht="15.75" thickBot="1" x14ac:dyDescent="0.3">
      <c r="A2" t="s">
        <v>526</v>
      </c>
      <c r="B2" t="s">
        <v>527</v>
      </c>
      <c r="C2" s="24">
        <v>44846</v>
      </c>
      <c r="D2" s="14">
        <v>425000</v>
      </c>
      <c r="E2" t="s">
        <v>27</v>
      </c>
      <c r="F2" t="s">
        <v>28</v>
      </c>
      <c r="G2" s="14">
        <v>425000</v>
      </c>
      <c r="H2" s="14">
        <v>180500</v>
      </c>
      <c r="I2" s="19">
        <f>H2/G2*100</f>
        <v>42.470588235294116</v>
      </c>
      <c r="J2" s="14">
        <v>360984</v>
      </c>
      <c r="K2" s="14">
        <f>G2-320984</f>
        <v>104016</v>
      </c>
      <c r="L2" s="14">
        <v>40000</v>
      </c>
      <c r="M2" s="29">
        <v>0</v>
      </c>
      <c r="N2" s="33">
        <v>0</v>
      </c>
      <c r="O2" s="38">
        <v>1.05</v>
      </c>
      <c r="P2" s="38">
        <v>1.05</v>
      </c>
      <c r="Q2" s="14" t="e">
        <f>K2/M2</f>
        <v>#DIV/0!</v>
      </c>
      <c r="R2" s="14">
        <f>K2/O2</f>
        <v>99062.857142857145</v>
      </c>
      <c r="S2" s="43">
        <f>K2/O2/43560</f>
        <v>2.2741702741702743</v>
      </c>
      <c r="T2" s="38">
        <v>0</v>
      </c>
      <c r="U2" s="5" t="s">
        <v>387</v>
      </c>
      <c r="V2" t="s">
        <v>528</v>
      </c>
      <c r="X2" t="s">
        <v>388</v>
      </c>
      <c r="Y2" s="6" t="s">
        <v>32</v>
      </c>
    </row>
    <row r="3" spans="1:45" ht="15.75" thickTop="1" x14ac:dyDescent="0.25">
      <c r="A3" s="7"/>
      <c r="B3" s="7"/>
      <c r="C3" s="25" t="s">
        <v>769</v>
      </c>
      <c r="D3" s="15">
        <f>+SUM(D2:D2)</f>
        <v>425000</v>
      </c>
      <c r="E3" s="7"/>
      <c r="F3" s="7"/>
      <c r="G3" s="15">
        <f>+SUM(G2:G2)</f>
        <v>425000</v>
      </c>
      <c r="H3" s="15">
        <f>+SUM(H2:H2)</f>
        <v>180500</v>
      </c>
      <c r="I3" s="20"/>
      <c r="J3" s="15">
        <f>+SUM(J2:J2)</f>
        <v>360984</v>
      </c>
      <c r="K3" s="15">
        <f>+SUM(K2:K2)</f>
        <v>104016</v>
      </c>
      <c r="L3" s="15">
        <f>+SUM(L2:L2)</f>
        <v>40000</v>
      </c>
      <c r="M3" s="30">
        <f>+SUM(M2:M2)</f>
        <v>0</v>
      </c>
      <c r="N3" s="34"/>
      <c r="O3" s="39">
        <f>+SUM(O2:O2)</f>
        <v>1.05</v>
      </c>
      <c r="P3" s="39">
        <f>+SUM(P2:P2)</f>
        <v>1.05</v>
      </c>
      <c r="Q3" s="15"/>
      <c r="R3" s="15"/>
      <c r="S3" s="44"/>
      <c r="T3" s="39"/>
      <c r="U3" s="8"/>
      <c r="V3" s="7"/>
      <c r="W3" s="7"/>
      <c r="X3" s="7"/>
      <c r="Y3" s="7"/>
    </row>
    <row r="4" spans="1:45" x14ac:dyDescent="0.25">
      <c r="A4" s="9"/>
      <c r="B4" s="9"/>
      <c r="C4" s="26"/>
      <c r="D4" s="16"/>
      <c r="E4" s="9"/>
      <c r="F4" s="9"/>
      <c r="G4" s="16"/>
      <c r="H4" s="16" t="s">
        <v>770</v>
      </c>
      <c r="I4" s="21">
        <f>H3/G3*100</f>
        <v>42.470588235294116</v>
      </c>
      <c r="J4" s="16"/>
      <c r="K4" s="16"/>
      <c r="L4" s="16" t="s">
        <v>771</v>
      </c>
      <c r="M4" s="31"/>
      <c r="N4" s="35"/>
      <c r="O4" s="40" t="s">
        <v>771</v>
      </c>
      <c r="P4" s="40"/>
      <c r="Q4" s="16"/>
      <c r="R4" s="16" t="s">
        <v>771</v>
      </c>
      <c r="S4" s="45"/>
      <c r="T4" s="40"/>
      <c r="U4" s="10"/>
      <c r="V4" s="9"/>
      <c r="W4" s="9"/>
      <c r="X4" s="9"/>
      <c r="Y4" s="9"/>
    </row>
    <row r="5" spans="1:45" ht="15.75" thickBot="1" x14ac:dyDescent="0.3">
      <c r="A5" s="11"/>
      <c r="B5" s="11"/>
      <c r="C5" s="27"/>
      <c r="D5" s="17"/>
      <c r="E5" s="11"/>
      <c r="F5" s="11"/>
      <c r="G5" s="17"/>
      <c r="H5" s="17" t="s">
        <v>772</v>
      </c>
      <c r="I5" s="22" t="e">
        <f>STDEV(I2:I2)</f>
        <v>#DIV/0!</v>
      </c>
      <c r="J5" s="17"/>
      <c r="K5" s="17"/>
      <c r="L5" s="17" t="s">
        <v>773</v>
      </c>
      <c r="M5" s="47" t="e">
        <f>K3/M3</f>
        <v>#DIV/0!</v>
      </c>
      <c r="N5" s="36"/>
      <c r="O5" s="40" t="s">
        <v>774</v>
      </c>
      <c r="P5" s="40">
        <f>K3/O3</f>
        <v>99062.857142857145</v>
      </c>
      <c r="Q5" s="17"/>
      <c r="R5" s="17" t="s">
        <v>775</v>
      </c>
      <c r="S5" s="46">
        <f>K3/O3/43560</f>
        <v>2.2741702741702743</v>
      </c>
      <c r="T5" s="41"/>
      <c r="U5" s="12"/>
      <c r="V5" s="11"/>
      <c r="W5" s="11"/>
      <c r="X5" s="11"/>
      <c r="Y5" s="11"/>
    </row>
    <row r="6" spans="1:45" x14ac:dyDescent="0.25">
      <c r="O6" s="49" t="s">
        <v>783</v>
      </c>
      <c r="P6" s="50">
        <v>40000</v>
      </c>
    </row>
    <row r="7" spans="1:45" ht="15.75" thickBot="1" x14ac:dyDescent="0.3">
      <c r="O7" s="51" t="s">
        <v>784</v>
      </c>
      <c r="P7" s="52">
        <v>42000</v>
      </c>
    </row>
  </sheetData>
  <conditionalFormatting sqref="A2:Y2">
    <cfRule type="expression" dxfId="9" priority="1" stopIfTrue="1">
      <formula>MOD(ROW(),4)&gt;1</formula>
    </cfRule>
    <cfRule type="expression" dxfId="8" priority="2" stopIfTrue="1">
      <formula>MOD(ROW(),4)&lt;2</formula>
    </cfRule>
  </conditionalFormatting>
  <pageMargins left="0.7" right="0.7" top="0.75" bottom="0.75" header="0.3" footer="0.3"/>
  <pageSetup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CC1D8-8FA2-4DAE-ACA7-BC1D994015B8}">
  <dimension ref="A1:AS222"/>
  <sheetViews>
    <sheetView workbookViewId="0">
      <selection activeCell="A218" sqref="A218"/>
    </sheetView>
  </sheetViews>
  <sheetFormatPr defaultRowHeight="15" x14ac:dyDescent="0.25"/>
  <cols>
    <col min="1" max="1" width="18.140625" bestFit="1" customWidth="1"/>
    <col min="2" max="2" width="26.5703125" bestFit="1" customWidth="1"/>
    <col min="3" max="3" width="9.28515625" style="24" hidden="1" customWidth="1"/>
    <col min="4" max="4" width="11.85546875" style="14" hidden="1" customWidth="1"/>
    <col min="5" max="5" width="5.5703125" hidden="1" customWidth="1"/>
    <col min="6" max="6" width="38.42578125" hidden="1" customWidth="1"/>
    <col min="7" max="7" width="11.85546875" style="14" hidden="1" customWidth="1"/>
    <col min="8" max="8" width="12.7109375" style="14" hidden="1" customWidth="1"/>
    <col min="9" max="9" width="12.85546875" style="19" hidden="1" customWidth="1"/>
    <col min="10" max="10" width="13.42578125" style="14" hidden="1" customWidth="1"/>
    <col min="11" max="11" width="13.28515625" style="14" hidden="1" customWidth="1"/>
    <col min="12" max="12" width="14.42578125" style="14" bestFit="1" customWidth="1"/>
    <col min="13" max="13" width="11.140625" style="29" bestFit="1" customWidth="1"/>
    <col min="14" max="14" width="6.42578125" style="33" bestFit="1" customWidth="1"/>
    <col min="15" max="15" width="14.28515625" style="38" bestFit="1" customWidth="1"/>
    <col min="16" max="16" width="10.7109375" style="38" bestFit="1" customWidth="1"/>
    <col min="17" max="17" width="13.5703125" style="14" bestFit="1" customWidth="1"/>
    <col min="18" max="18" width="12" style="14" bestFit="1" customWidth="1"/>
    <col min="19" max="19" width="11.85546875" style="43" bestFit="1" customWidth="1"/>
    <col min="20" max="20" width="11.7109375" style="38" bestFit="1" customWidth="1"/>
    <col min="21" max="21" width="10.85546875" style="4" bestFit="1" customWidth="1"/>
    <col min="22" max="22" width="10.5703125" bestFit="1" customWidth="1"/>
    <col min="23" max="23" width="36.5703125" bestFit="1" customWidth="1"/>
    <col min="24" max="24" width="29" bestFit="1" customWidth="1"/>
    <col min="25" max="25" width="5.42578125" bestFit="1" customWidth="1"/>
  </cols>
  <sheetData>
    <row r="1" spans="1:45" x14ac:dyDescent="0.25">
      <c r="A1" s="48" t="s">
        <v>788</v>
      </c>
    </row>
    <row r="2" spans="1:45" x14ac:dyDescent="0.25">
      <c r="A2" s="48" t="s">
        <v>777</v>
      </c>
    </row>
    <row r="3" spans="1:45" hidden="1" x14ac:dyDescent="0.25">
      <c r="A3" s="1" t="s">
        <v>0</v>
      </c>
      <c r="B3" s="1" t="s">
        <v>1</v>
      </c>
      <c r="C3" s="23" t="s">
        <v>2</v>
      </c>
      <c r="D3" s="13" t="s">
        <v>3</v>
      </c>
      <c r="E3" s="1" t="s">
        <v>4</v>
      </c>
      <c r="F3" s="1" t="s">
        <v>5</v>
      </c>
      <c r="G3" s="13" t="s">
        <v>6</v>
      </c>
      <c r="H3" s="13" t="s">
        <v>7</v>
      </c>
      <c r="I3" s="18" t="s">
        <v>8</v>
      </c>
      <c r="J3" s="13" t="s">
        <v>9</v>
      </c>
      <c r="K3" s="13" t="s">
        <v>10</v>
      </c>
      <c r="L3" s="13" t="s">
        <v>11</v>
      </c>
      <c r="M3" s="28" t="s">
        <v>12</v>
      </c>
      <c r="N3" s="32" t="s">
        <v>13</v>
      </c>
      <c r="O3" s="37" t="s">
        <v>14</v>
      </c>
      <c r="P3" s="37" t="s">
        <v>15</v>
      </c>
      <c r="Q3" s="13" t="s">
        <v>16</v>
      </c>
      <c r="R3" s="13" t="s">
        <v>17</v>
      </c>
      <c r="S3" s="42" t="s">
        <v>18</v>
      </c>
      <c r="T3" s="37" t="s">
        <v>19</v>
      </c>
      <c r="U3" s="3" t="s">
        <v>20</v>
      </c>
      <c r="V3" s="1" t="s">
        <v>21</v>
      </c>
      <c r="W3" s="1" t="s">
        <v>22</v>
      </c>
      <c r="X3" s="1" t="s">
        <v>23</v>
      </c>
      <c r="Y3" s="1" t="s">
        <v>24</v>
      </c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</row>
    <row r="4" spans="1:45" hidden="1" x14ac:dyDescent="0.25">
      <c r="A4" t="s">
        <v>345</v>
      </c>
      <c r="B4" t="s">
        <v>346</v>
      </c>
      <c r="C4" s="24">
        <v>44757</v>
      </c>
      <c r="D4" s="14">
        <v>440000</v>
      </c>
      <c r="E4" t="s">
        <v>27</v>
      </c>
      <c r="F4" t="s">
        <v>42</v>
      </c>
      <c r="G4" s="14">
        <v>440000</v>
      </c>
      <c r="H4" s="14">
        <v>192000</v>
      </c>
      <c r="I4" s="19">
        <f t="shared" ref="I4:I35" si="0">H4/G4*100</f>
        <v>43.636363636363633</v>
      </c>
      <c r="J4" s="14">
        <v>412073</v>
      </c>
      <c r="K4" s="14">
        <f>G4-311753</f>
        <v>128247</v>
      </c>
      <c r="L4" s="14">
        <v>72160</v>
      </c>
      <c r="M4" s="29">
        <v>0</v>
      </c>
      <c r="N4" s="33">
        <v>0</v>
      </c>
      <c r="O4" s="38">
        <v>0.44</v>
      </c>
      <c r="P4" s="38">
        <v>0</v>
      </c>
      <c r="Q4" s="14" t="e">
        <f t="shared" ref="Q4:Q35" si="1">K4/M4</f>
        <v>#DIV/0!</v>
      </c>
      <c r="R4" s="14">
        <f t="shared" ref="R4:R35" si="2">K4/O4</f>
        <v>291470.45454545453</v>
      </c>
      <c r="S4" s="43">
        <f t="shared" ref="S4:S35" si="3">K4/O4/43560</f>
        <v>6.6912409216128221</v>
      </c>
      <c r="T4" s="38">
        <v>0</v>
      </c>
      <c r="U4" s="5" t="s">
        <v>347</v>
      </c>
      <c r="V4" t="s">
        <v>348</v>
      </c>
      <c r="W4" t="s">
        <v>349</v>
      </c>
      <c r="X4" t="s">
        <v>350</v>
      </c>
      <c r="Y4" s="6" t="s">
        <v>32</v>
      </c>
    </row>
    <row r="5" spans="1:45" hidden="1" x14ac:dyDescent="0.25">
      <c r="A5" t="s">
        <v>351</v>
      </c>
      <c r="B5" t="s">
        <v>352</v>
      </c>
      <c r="C5" s="24">
        <v>45180</v>
      </c>
      <c r="D5" s="14">
        <v>439900</v>
      </c>
      <c r="E5" t="s">
        <v>27</v>
      </c>
      <c r="F5" t="s">
        <v>28</v>
      </c>
      <c r="G5" s="14">
        <v>439900</v>
      </c>
      <c r="H5" s="14">
        <v>200100</v>
      </c>
      <c r="I5" s="19">
        <f t="shared" si="0"/>
        <v>45.487610820641052</v>
      </c>
      <c r="J5" s="14">
        <v>400215</v>
      </c>
      <c r="K5" s="14">
        <f>G5-356215</f>
        <v>83685</v>
      </c>
      <c r="L5" s="14">
        <v>44000</v>
      </c>
      <c r="M5" s="29">
        <v>0</v>
      </c>
      <c r="N5" s="33">
        <v>0</v>
      </c>
      <c r="O5" s="38">
        <v>0</v>
      </c>
      <c r="P5" s="38">
        <v>0</v>
      </c>
      <c r="Q5" s="14" t="e">
        <f t="shared" si="1"/>
        <v>#DIV/0!</v>
      </c>
      <c r="R5" s="14" t="e">
        <f t="shared" si="2"/>
        <v>#DIV/0!</v>
      </c>
      <c r="S5" s="43" t="e">
        <f t="shared" si="3"/>
        <v>#DIV/0!</v>
      </c>
      <c r="T5" s="38">
        <v>0</v>
      </c>
      <c r="U5" s="5" t="s">
        <v>347</v>
      </c>
      <c r="V5" t="s">
        <v>353</v>
      </c>
      <c r="X5" t="s">
        <v>350</v>
      </c>
      <c r="Y5" s="6" t="s">
        <v>32</v>
      </c>
    </row>
    <row r="6" spans="1:45" hidden="1" x14ac:dyDescent="0.25">
      <c r="A6" t="s">
        <v>362</v>
      </c>
      <c r="B6" t="s">
        <v>363</v>
      </c>
      <c r="C6" s="24">
        <v>44375</v>
      </c>
      <c r="D6" s="14">
        <v>265000</v>
      </c>
      <c r="E6" t="s">
        <v>27</v>
      </c>
      <c r="F6" t="s">
        <v>28</v>
      </c>
      <c r="G6" s="14">
        <v>265000</v>
      </c>
      <c r="H6" s="14">
        <v>139200</v>
      </c>
      <c r="I6" s="19">
        <f t="shared" si="0"/>
        <v>52.528301886792448</v>
      </c>
      <c r="J6" s="14">
        <v>278333</v>
      </c>
      <c r="K6" s="14">
        <f>G6-240333</f>
        <v>24667</v>
      </c>
      <c r="L6" s="14">
        <v>38000</v>
      </c>
      <c r="M6" s="29">
        <v>0</v>
      </c>
      <c r="N6" s="33">
        <v>0</v>
      </c>
      <c r="O6" s="38">
        <v>0.34</v>
      </c>
      <c r="P6" s="38">
        <v>0.34</v>
      </c>
      <c r="Q6" s="14" t="e">
        <f t="shared" si="1"/>
        <v>#DIV/0!</v>
      </c>
      <c r="R6" s="14">
        <f t="shared" si="2"/>
        <v>72550</v>
      </c>
      <c r="S6" s="43">
        <f t="shared" si="3"/>
        <v>1.6655188246097337</v>
      </c>
      <c r="T6" s="38">
        <v>0</v>
      </c>
      <c r="U6" s="5" t="s">
        <v>347</v>
      </c>
      <c r="V6" t="s">
        <v>364</v>
      </c>
      <c r="X6" t="s">
        <v>350</v>
      </c>
      <c r="Y6" s="6" t="s">
        <v>32</v>
      </c>
    </row>
    <row r="7" spans="1:45" hidden="1" x14ac:dyDescent="0.25">
      <c r="A7" t="s">
        <v>365</v>
      </c>
      <c r="B7" t="s">
        <v>366</v>
      </c>
      <c r="C7" s="24">
        <v>45016</v>
      </c>
      <c r="D7" s="14">
        <v>267000</v>
      </c>
      <c r="E7" t="s">
        <v>27</v>
      </c>
      <c r="F7" t="s">
        <v>28</v>
      </c>
      <c r="G7" s="14">
        <v>267000</v>
      </c>
      <c r="H7" s="14">
        <v>131200</v>
      </c>
      <c r="I7" s="19">
        <f t="shared" si="0"/>
        <v>49.138576779026216</v>
      </c>
      <c r="J7" s="14">
        <v>262322</v>
      </c>
      <c r="K7" s="14">
        <f>G7-224322</f>
        <v>42678</v>
      </c>
      <c r="L7" s="14">
        <v>38000</v>
      </c>
      <c r="M7" s="29">
        <v>0</v>
      </c>
      <c r="N7" s="33">
        <v>0</v>
      </c>
      <c r="O7" s="38">
        <v>0.34</v>
      </c>
      <c r="P7" s="38">
        <v>0.34</v>
      </c>
      <c r="Q7" s="14" t="e">
        <f t="shared" si="1"/>
        <v>#DIV/0!</v>
      </c>
      <c r="R7" s="14">
        <f t="shared" si="2"/>
        <v>125523.5294117647</v>
      </c>
      <c r="S7" s="43">
        <f t="shared" si="3"/>
        <v>2.8816237238697129</v>
      </c>
      <c r="T7" s="38">
        <v>0</v>
      </c>
      <c r="U7" s="5" t="s">
        <v>347</v>
      </c>
      <c r="V7" t="s">
        <v>367</v>
      </c>
      <c r="X7" t="s">
        <v>350</v>
      </c>
      <c r="Y7" s="6" t="s">
        <v>32</v>
      </c>
    </row>
    <row r="8" spans="1:45" hidden="1" x14ac:dyDescent="0.25">
      <c r="A8" t="s">
        <v>368</v>
      </c>
      <c r="B8" t="s">
        <v>369</v>
      </c>
      <c r="C8" s="24">
        <v>45163</v>
      </c>
      <c r="D8" s="14">
        <v>295000</v>
      </c>
      <c r="E8" t="s">
        <v>27</v>
      </c>
      <c r="F8" t="s">
        <v>28</v>
      </c>
      <c r="G8" s="14">
        <v>295000</v>
      </c>
      <c r="H8" s="14">
        <v>130800</v>
      </c>
      <c r="I8" s="19">
        <f t="shared" si="0"/>
        <v>44.33898305084746</v>
      </c>
      <c r="J8" s="14">
        <v>261626</v>
      </c>
      <c r="K8" s="14">
        <f>G8-223626</f>
        <v>71374</v>
      </c>
      <c r="L8" s="14">
        <v>38000</v>
      </c>
      <c r="M8" s="29">
        <v>0</v>
      </c>
      <c r="N8" s="33">
        <v>0</v>
      </c>
      <c r="O8" s="38">
        <v>0.34</v>
      </c>
      <c r="P8" s="38">
        <v>0.34</v>
      </c>
      <c r="Q8" s="14" t="e">
        <f t="shared" si="1"/>
        <v>#DIV/0!</v>
      </c>
      <c r="R8" s="14">
        <f t="shared" si="2"/>
        <v>209923.5294117647</v>
      </c>
      <c r="S8" s="43">
        <f t="shared" si="3"/>
        <v>4.8191811159725599</v>
      </c>
      <c r="T8" s="38">
        <v>0</v>
      </c>
      <c r="U8" s="5" t="s">
        <v>347</v>
      </c>
      <c r="V8" t="s">
        <v>370</v>
      </c>
      <c r="X8" t="s">
        <v>350</v>
      </c>
      <c r="Y8" s="6" t="s">
        <v>32</v>
      </c>
    </row>
    <row r="9" spans="1:45" hidden="1" x14ac:dyDescent="0.25">
      <c r="A9" t="s">
        <v>371</v>
      </c>
      <c r="B9" t="s">
        <v>372</v>
      </c>
      <c r="C9" s="24">
        <v>44739</v>
      </c>
      <c r="D9" s="14">
        <v>350000</v>
      </c>
      <c r="E9" t="s">
        <v>27</v>
      </c>
      <c r="F9" t="s">
        <v>28</v>
      </c>
      <c r="G9" s="14">
        <v>350000</v>
      </c>
      <c r="H9" s="14">
        <v>145900</v>
      </c>
      <c r="I9" s="19">
        <f t="shared" si="0"/>
        <v>41.68571428571429</v>
      </c>
      <c r="J9" s="14">
        <v>291871</v>
      </c>
      <c r="K9" s="14">
        <f>G9-253871</f>
        <v>96129</v>
      </c>
      <c r="L9" s="14">
        <v>38000</v>
      </c>
      <c r="M9" s="29">
        <v>0</v>
      </c>
      <c r="N9" s="33">
        <v>0</v>
      </c>
      <c r="O9" s="38">
        <v>0.34</v>
      </c>
      <c r="P9" s="38">
        <v>0.34</v>
      </c>
      <c r="Q9" s="14" t="e">
        <f t="shared" si="1"/>
        <v>#DIV/0!</v>
      </c>
      <c r="R9" s="14">
        <f t="shared" si="2"/>
        <v>282732.35294117645</v>
      </c>
      <c r="S9" s="43">
        <f t="shared" si="3"/>
        <v>6.4906417112299462</v>
      </c>
      <c r="T9" s="38">
        <v>0</v>
      </c>
      <c r="U9" s="5" t="s">
        <v>347</v>
      </c>
      <c r="V9" t="s">
        <v>373</v>
      </c>
      <c r="X9" t="s">
        <v>350</v>
      </c>
      <c r="Y9" s="6" t="s">
        <v>32</v>
      </c>
    </row>
    <row r="10" spans="1:45" hidden="1" x14ac:dyDescent="0.25">
      <c r="A10" t="s">
        <v>374</v>
      </c>
      <c r="B10" t="s">
        <v>375</v>
      </c>
      <c r="C10" s="24">
        <v>44354</v>
      </c>
      <c r="D10" s="14">
        <v>236000</v>
      </c>
      <c r="E10" t="s">
        <v>27</v>
      </c>
      <c r="F10" t="s">
        <v>28</v>
      </c>
      <c r="G10" s="14">
        <v>236000</v>
      </c>
      <c r="H10" s="14">
        <v>127200</v>
      </c>
      <c r="I10" s="19">
        <f t="shared" si="0"/>
        <v>53.898305084745765</v>
      </c>
      <c r="J10" s="14">
        <v>254367</v>
      </c>
      <c r="K10" s="14">
        <f>G10-216367</f>
        <v>19633</v>
      </c>
      <c r="L10" s="14">
        <v>38000</v>
      </c>
      <c r="M10" s="29">
        <v>0</v>
      </c>
      <c r="N10" s="33">
        <v>0</v>
      </c>
      <c r="O10" s="38">
        <v>0</v>
      </c>
      <c r="P10" s="38">
        <v>0</v>
      </c>
      <c r="Q10" s="14" t="e">
        <f t="shared" si="1"/>
        <v>#DIV/0!</v>
      </c>
      <c r="R10" s="14" t="e">
        <f t="shared" si="2"/>
        <v>#DIV/0!</v>
      </c>
      <c r="S10" s="43" t="e">
        <f t="shared" si="3"/>
        <v>#DIV/0!</v>
      </c>
      <c r="T10" s="38">
        <v>0</v>
      </c>
      <c r="U10" s="5" t="s">
        <v>347</v>
      </c>
      <c r="V10" t="s">
        <v>376</v>
      </c>
      <c r="X10" t="s">
        <v>350</v>
      </c>
      <c r="Y10" s="6" t="s">
        <v>32</v>
      </c>
    </row>
    <row r="11" spans="1:45" hidden="1" x14ac:dyDescent="0.25">
      <c r="A11" t="s">
        <v>377</v>
      </c>
      <c r="B11" t="s">
        <v>378</v>
      </c>
      <c r="C11" s="24">
        <v>44319</v>
      </c>
      <c r="D11" s="14">
        <v>260000</v>
      </c>
      <c r="E11" t="s">
        <v>27</v>
      </c>
      <c r="F11" t="s">
        <v>28</v>
      </c>
      <c r="G11" s="14">
        <v>260000</v>
      </c>
      <c r="H11" s="14">
        <v>135300</v>
      </c>
      <c r="I11" s="19">
        <f t="shared" si="0"/>
        <v>52.038461538461533</v>
      </c>
      <c r="J11" s="14">
        <v>270592</v>
      </c>
      <c r="K11" s="14">
        <f>G11-232592</f>
        <v>27408</v>
      </c>
      <c r="L11" s="14">
        <v>38000</v>
      </c>
      <c r="M11" s="29">
        <v>0</v>
      </c>
      <c r="N11" s="33">
        <v>0</v>
      </c>
      <c r="O11" s="38">
        <v>0.34</v>
      </c>
      <c r="P11" s="38">
        <v>0.34</v>
      </c>
      <c r="Q11" s="14" t="e">
        <f t="shared" si="1"/>
        <v>#DIV/0!</v>
      </c>
      <c r="R11" s="14">
        <f t="shared" si="2"/>
        <v>80611.76470588235</v>
      </c>
      <c r="S11" s="43">
        <f t="shared" si="3"/>
        <v>1.8505914762599254</v>
      </c>
      <c r="T11" s="38">
        <v>0</v>
      </c>
      <c r="U11" s="5" t="s">
        <v>347</v>
      </c>
      <c r="V11" t="s">
        <v>379</v>
      </c>
      <c r="X11" t="s">
        <v>350</v>
      </c>
      <c r="Y11" s="6" t="s">
        <v>32</v>
      </c>
    </row>
    <row r="12" spans="1:45" hidden="1" x14ac:dyDescent="0.25">
      <c r="A12" t="s">
        <v>380</v>
      </c>
      <c r="B12" t="s">
        <v>381</v>
      </c>
      <c r="C12" s="24">
        <v>44715</v>
      </c>
      <c r="D12" s="14">
        <v>321000</v>
      </c>
      <c r="E12" t="s">
        <v>27</v>
      </c>
      <c r="F12" t="s">
        <v>28</v>
      </c>
      <c r="G12" s="14">
        <v>321000</v>
      </c>
      <c r="H12" s="14">
        <v>141500</v>
      </c>
      <c r="I12" s="19">
        <f t="shared" si="0"/>
        <v>44.0809968847352</v>
      </c>
      <c r="J12" s="14">
        <v>282940</v>
      </c>
      <c r="K12" s="14">
        <f>G12-244940</f>
        <v>76060</v>
      </c>
      <c r="L12" s="14">
        <v>38000</v>
      </c>
      <c r="M12" s="29">
        <v>0</v>
      </c>
      <c r="N12" s="33">
        <v>0</v>
      </c>
      <c r="O12" s="38">
        <v>0.4</v>
      </c>
      <c r="P12" s="38">
        <v>0.4</v>
      </c>
      <c r="Q12" s="14" t="e">
        <f t="shared" si="1"/>
        <v>#DIV/0!</v>
      </c>
      <c r="R12" s="14">
        <f t="shared" si="2"/>
        <v>190150</v>
      </c>
      <c r="S12" s="43">
        <f t="shared" si="3"/>
        <v>4.3652433425160702</v>
      </c>
      <c r="T12" s="38">
        <v>0</v>
      </c>
      <c r="U12" s="5" t="s">
        <v>347</v>
      </c>
      <c r="V12" t="s">
        <v>383</v>
      </c>
      <c r="X12" t="s">
        <v>350</v>
      </c>
      <c r="Y12" s="6" t="s">
        <v>32</v>
      </c>
    </row>
    <row r="13" spans="1:45" hidden="1" x14ac:dyDescent="0.25">
      <c r="A13" t="s">
        <v>380</v>
      </c>
      <c r="B13" t="s">
        <v>381</v>
      </c>
      <c r="C13" s="24">
        <v>44508</v>
      </c>
      <c r="D13" s="14">
        <v>280500</v>
      </c>
      <c r="E13" t="s">
        <v>27</v>
      </c>
      <c r="F13" t="s">
        <v>28</v>
      </c>
      <c r="G13" s="14">
        <v>280500</v>
      </c>
      <c r="H13" s="14">
        <v>141500</v>
      </c>
      <c r="I13" s="19">
        <f t="shared" si="0"/>
        <v>50.445632798573982</v>
      </c>
      <c r="J13" s="14">
        <v>282940</v>
      </c>
      <c r="K13" s="14">
        <f>G13-244940</f>
        <v>35560</v>
      </c>
      <c r="L13" s="14">
        <v>38000</v>
      </c>
      <c r="M13" s="29">
        <v>0</v>
      </c>
      <c r="N13" s="33">
        <v>0</v>
      </c>
      <c r="O13" s="38">
        <v>0.4</v>
      </c>
      <c r="P13" s="38">
        <v>0.4</v>
      </c>
      <c r="Q13" s="14" t="e">
        <f t="shared" si="1"/>
        <v>#DIV/0!</v>
      </c>
      <c r="R13" s="14">
        <f t="shared" si="2"/>
        <v>88900</v>
      </c>
      <c r="S13" s="43">
        <f t="shared" si="3"/>
        <v>2.0408631772268135</v>
      </c>
      <c r="T13" s="38">
        <v>0</v>
      </c>
      <c r="U13" s="5" t="s">
        <v>347</v>
      </c>
      <c r="V13" t="s">
        <v>382</v>
      </c>
      <c r="X13" t="s">
        <v>350</v>
      </c>
      <c r="Y13" s="6" t="s">
        <v>32</v>
      </c>
    </row>
    <row r="14" spans="1:45" hidden="1" x14ac:dyDescent="0.25">
      <c r="A14" t="s">
        <v>384</v>
      </c>
      <c r="B14" t="s">
        <v>385</v>
      </c>
      <c r="C14" s="24">
        <v>45063</v>
      </c>
      <c r="D14" s="14">
        <v>362000</v>
      </c>
      <c r="E14" t="s">
        <v>27</v>
      </c>
      <c r="F14" t="s">
        <v>28</v>
      </c>
      <c r="G14" s="14">
        <v>362000</v>
      </c>
      <c r="H14" s="14">
        <v>127200</v>
      </c>
      <c r="I14" s="19">
        <f t="shared" si="0"/>
        <v>35.138121546961329</v>
      </c>
      <c r="J14" s="14">
        <v>254398</v>
      </c>
      <c r="K14" s="14">
        <f>G14-216398</f>
        <v>145602</v>
      </c>
      <c r="L14" s="14">
        <v>38000</v>
      </c>
      <c r="M14" s="29">
        <v>0</v>
      </c>
      <c r="N14" s="33">
        <v>0</v>
      </c>
      <c r="O14" s="38">
        <v>0.39</v>
      </c>
      <c r="P14" s="38">
        <v>0.39</v>
      </c>
      <c r="Q14" s="14" t="e">
        <f t="shared" si="1"/>
        <v>#DIV/0!</v>
      </c>
      <c r="R14" s="14">
        <f t="shared" si="2"/>
        <v>373338.4615384615</v>
      </c>
      <c r="S14" s="43">
        <f t="shared" si="3"/>
        <v>8.5706717524899343</v>
      </c>
      <c r="T14" s="38">
        <v>0</v>
      </c>
      <c r="U14" s="5" t="s">
        <v>347</v>
      </c>
      <c r="V14" t="s">
        <v>386</v>
      </c>
      <c r="X14" t="s">
        <v>350</v>
      </c>
      <c r="Y14" s="6" t="s">
        <v>32</v>
      </c>
    </row>
    <row r="15" spans="1:45" hidden="1" x14ac:dyDescent="0.25">
      <c r="A15" t="s">
        <v>441</v>
      </c>
      <c r="B15" t="s">
        <v>442</v>
      </c>
      <c r="C15" s="24">
        <v>45148</v>
      </c>
      <c r="D15" s="14">
        <v>319200</v>
      </c>
      <c r="E15" t="s">
        <v>27</v>
      </c>
      <c r="F15" t="s">
        <v>28</v>
      </c>
      <c r="G15" s="14">
        <v>319200</v>
      </c>
      <c r="H15" s="14">
        <v>125200</v>
      </c>
      <c r="I15" s="19">
        <f t="shared" si="0"/>
        <v>39.223057644110277</v>
      </c>
      <c r="J15" s="14">
        <v>250452</v>
      </c>
      <c r="K15" s="14">
        <f>G15-189452</f>
        <v>129748</v>
      </c>
      <c r="L15" s="14">
        <v>61000</v>
      </c>
      <c r="M15" s="29">
        <v>0</v>
      </c>
      <c r="N15" s="33">
        <v>0</v>
      </c>
      <c r="O15" s="38">
        <v>0.32</v>
      </c>
      <c r="P15" s="38">
        <v>0.32</v>
      </c>
      <c r="Q15" s="14" t="e">
        <f t="shared" si="1"/>
        <v>#DIV/0!</v>
      </c>
      <c r="R15" s="14">
        <f t="shared" si="2"/>
        <v>405462.5</v>
      </c>
      <c r="S15" s="43">
        <f t="shared" si="3"/>
        <v>9.3081382001836541</v>
      </c>
      <c r="T15" s="38">
        <v>0</v>
      </c>
      <c r="U15" s="5" t="s">
        <v>347</v>
      </c>
      <c r="V15" t="s">
        <v>445</v>
      </c>
      <c r="X15" t="s">
        <v>444</v>
      </c>
      <c r="Y15" s="6" t="s">
        <v>32</v>
      </c>
    </row>
    <row r="16" spans="1:45" hidden="1" x14ac:dyDescent="0.25">
      <c r="A16" t="s">
        <v>441</v>
      </c>
      <c r="B16" t="s">
        <v>442</v>
      </c>
      <c r="C16" s="24">
        <v>44750</v>
      </c>
      <c r="D16" s="14">
        <v>250300</v>
      </c>
      <c r="E16" t="s">
        <v>27</v>
      </c>
      <c r="F16" t="s">
        <v>28</v>
      </c>
      <c r="G16" s="14">
        <v>250300</v>
      </c>
      <c r="H16" s="14">
        <v>125200</v>
      </c>
      <c r="I16" s="19">
        <f t="shared" si="0"/>
        <v>50.019976028765477</v>
      </c>
      <c r="J16" s="14">
        <v>250452</v>
      </c>
      <c r="K16" s="14">
        <f>G16-189452</f>
        <v>60848</v>
      </c>
      <c r="L16" s="14">
        <v>61000</v>
      </c>
      <c r="M16" s="29">
        <v>0</v>
      </c>
      <c r="N16" s="33">
        <v>0</v>
      </c>
      <c r="O16" s="38">
        <v>0.32</v>
      </c>
      <c r="P16" s="38">
        <v>0.32</v>
      </c>
      <c r="Q16" s="14" t="e">
        <f t="shared" si="1"/>
        <v>#DIV/0!</v>
      </c>
      <c r="R16" s="14">
        <f t="shared" si="2"/>
        <v>190150</v>
      </c>
      <c r="S16" s="43">
        <f t="shared" si="3"/>
        <v>4.3652433425160702</v>
      </c>
      <c r="T16" s="38">
        <v>0</v>
      </c>
      <c r="U16" s="5" t="s">
        <v>347</v>
      </c>
      <c r="V16" t="s">
        <v>443</v>
      </c>
      <c r="X16" t="s">
        <v>444</v>
      </c>
      <c r="Y16" s="6" t="s">
        <v>32</v>
      </c>
    </row>
    <row r="17" spans="1:25" hidden="1" x14ac:dyDescent="0.25">
      <c r="A17" t="s">
        <v>446</v>
      </c>
      <c r="B17" t="s">
        <v>447</v>
      </c>
      <c r="C17" s="24">
        <v>44377</v>
      </c>
      <c r="D17" s="14">
        <v>405000</v>
      </c>
      <c r="E17" t="s">
        <v>27</v>
      </c>
      <c r="F17" t="s">
        <v>28</v>
      </c>
      <c r="G17" s="14">
        <v>405000</v>
      </c>
      <c r="H17" s="14">
        <v>136900</v>
      </c>
      <c r="I17" s="19">
        <f t="shared" si="0"/>
        <v>33.802469135802468</v>
      </c>
      <c r="J17" s="14">
        <v>273841</v>
      </c>
      <c r="K17" s="14">
        <f>G17-212841</f>
        <v>192159</v>
      </c>
      <c r="L17" s="14">
        <v>61000</v>
      </c>
      <c r="M17" s="29">
        <v>0</v>
      </c>
      <c r="N17" s="33">
        <v>0</v>
      </c>
      <c r="O17" s="38">
        <v>0.67</v>
      </c>
      <c r="P17" s="38">
        <v>0.67</v>
      </c>
      <c r="Q17" s="14" t="e">
        <f t="shared" si="1"/>
        <v>#DIV/0!</v>
      </c>
      <c r="R17" s="14">
        <f t="shared" si="2"/>
        <v>286804.4776119403</v>
      </c>
      <c r="S17" s="43">
        <f t="shared" si="3"/>
        <v>6.5841248303934874</v>
      </c>
      <c r="T17" s="38">
        <v>0</v>
      </c>
      <c r="U17" s="5" t="s">
        <v>347</v>
      </c>
      <c r="V17" t="s">
        <v>448</v>
      </c>
      <c r="X17" t="s">
        <v>444</v>
      </c>
      <c r="Y17" s="6" t="s">
        <v>32</v>
      </c>
    </row>
    <row r="18" spans="1:25" hidden="1" x14ac:dyDescent="0.25">
      <c r="A18" t="s">
        <v>449</v>
      </c>
      <c r="B18" t="s">
        <v>450</v>
      </c>
      <c r="C18" s="24">
        <v>44522</v>
      </c>
      <c r="D18" s="14">
        <v>272000</v>
      </c>
      <c r="E18" t="s">
        <v>27</v>
      </c>
      <c r="F18" t="s">
        <v>28</v>
      </c>
      <c r="G18" s="14">
        <v>272000</v>
      </c>
      <c r="H18" s="14">
        <v>122600</v>
      </c>
      <c r="I18" s="19">
        <f t="shared" si="0"/>
        <v>45.07352941176471</v>
      </c>
      <c r="J18" s="14">
        <v>245138</v>
      </c>
      <c r="K18" s="14">
        <f>G18-199138</f>
        <v>72862</v>
      </c>
      <c r="L18" s="14">
        <v>46000</v>
      </c>
      <c r="M18" s="29">
        <v>0</v>
      </c>
      <c r="N18" s="33">
        <v>0</v>
      </c>
      <c r="O18" s="38">
        <v>0.56000000000000005</v>
      </c>
      <c r="P18" s="38">
        <v>0.56000000000000005</v>
      </c>
      <c r="Q18" s="14" t="e">
        <f t="shared" si="1"/>
        <v>#DIV/0!</v>
      </c>
      <c r="R18" s="14">
        <f t="shared" si="2"/>
        <v>130110.71428571428</v>
      </c>
      <c r="S18" s="43">
        <f t="shared" si="3"/>
        <v>2.9869309982946346</v>
      </c>
      <c r="T18" s="38">
        <v>0</v>
      </c>
      <c r="U18" s="5" t="s">
        <v>347</v>
      </c>
      <c r="V18" t="s">
        <v>451</v>
      </c>
      <c r="X18" t="s">
        <v>350</v>
      </c>
      <c r="Y18" s="6" t="s">
        <v>32</v>
      </c>
    </row>
    <row r="19" spans="1:25" hidden="1" x14ac:dyDescent="0.25">
      <c r="A19" t="s">
        <v>452</v>
      </c>
      <c r="B19" t="s">
        <v>453</v>
      </c>
      <c r="C19" s="24">
        <v>44356</v>
      </c>
      <c r="D19" s="14">
        <v>300000</v>
      </c>
      <c r="E19" t="s">
        <v>27</v>
      </c>
      <c r="F19" t="s">
        <v>28</v>
      </c>
      <c r="G19" s="14">
        <v>300000</v>
      </c>
      <c r="H19" s="14">
        <v>147600</v>
      </c>
      <c r="I19" s="19">
        <f t="shared" si="0"/>
        <v>49.2</v>
      </c>
      <c r="J19" s="14">
        <v>295176</v>
      </c>
      <c r="K19" s="14">
        <f>G19-249176</f>
        <v>50824</v>
      </c>
      <c r="L19" s="14">
        <v>46000</v>
      </c>
      <c r="M19" s="29">
        <v>0</v>
      </c>
      <c r="N19" s="33">
        <v>0</v>
      </c>
      <c r="O19" s="38">
        <v>0</v>
      </c>
      <c r="P19" s="38">
        <v>0</v>
      </c>
      <c r="Q19" s="14" t="e">
        <f t="shared" si="1"/>
        <v>#DIV/0!</v>
      </c>
      <c r="R19" s="14" t="e">
        <f t="shared" si="2"/>
        <v>#DIV/0!</v>
      </c>
      <c r="S19" s="43" t="e">
        <f t="shared" si="3"/>
        <v>#DIV/0!</v>
      </c>
      <c r="T19" s="38">
        <v>0</v>
      </c>
      <c r="U19" s="5" t="s">
        <v>347</v>
      </c>
      <c r="V19" t="s">
        <v>454</v>
      </c>
      <c r="X19" t="s">
        <v>350</v>
      </c>
      <c r="Y19" s="6" t="s">
        <v>32</v>
      </c>
    </row>
    <row r="20" spans="1:25" hidden="1" x14ac:dyDescent="0.25">
      <c r="A20" t="s">
        <v>455</v>
      </c>
      <c r="B20" t="s">
        <v>456</v>
      </c>
      <c r="C20" s="24">
        <v>44756</v>
      </c>
      <c r="D20" s="14">
        <v>283000</v>
      </c>
      <c r="E20" t="s">
        <v>27</v>
      </c>
      <c r="F20" t="s">
        <v>28</v>
      </c>
      <c r="G20" s="14">
        <v>283000</v>
      </c>
      <c r="H20" s="14">
        <v>121100</v>
      </c>
      <c r="I20" s="19">
        <f t="shared" si="0"/>
        <v>42.791519434628981</v>
      </c>
      <c r="J20" s="14">
        <v>242248</v>
      </c>
      <c r="K20" s="14">
        <f>G20-181248</f>
        <v>101752</v>
      </c>
      <c r="L20" s="14">
        <v>61000</v>
      </c>
      <c r="M20" s="29">
        <v>0</v>
      </c>
      <c r="N20" s="33">
        <v>0</v>
      </c>
      <c r="O20" s="38">
        <v>1.22</v>
      </c>
      <c r="P20" s="38">
        <v>1.22</v>
      </c>
      <c r="Q20" s="14" t="e">
        <f t="shared" si="1"/>
        <v>#DIV/0!</v>
      </c>
      <c r="R20" s="14">
        <f t="shared" si="2"/>
        <v>83403.278688524588</v>
      </c>
      <c r="S20" s="43">
        <f t="shared" si="3"/>
        <v>1.9146758192957893</v>
      </c>
      <c r="T20" s="38">
        <v>0</v>
      </c>
      <c r="U20" s="5" t="s">
        <v>347</v>
      </c>
      <c r="V20" t="s">
        <v>457</v>
      </c>
      <c r="X20" t="s">
        <v>444</v>
      </c>
      <c r="Y20" s="6" t="s">
        <v>32</v>
      </c>
    </row>
    <row r="21" spans="1:25" hidden="1" x14ac:dyDescent="0.25">
      <c r="A21" t="s">
        <v>458</v>
      </c>
      <c r="B21" t="s">
        <v>459</v>
      </c>
      <c r="C21" s="24">
        <v>44839</v>
      </c>
      <c r="D21" s="14">
        <v>54900</v>
      </c>
      <c r="E21" t="s">
        <v>27</v>
      </c>
      <c r="F21" t="s">
        <v>28</v>
      </c>
      <c r="G21" s="14">
        <v>54900</v>
      </c>
      <c r="H21" s="14">
        <v>23000</v>
      </c>
      <c r="I21" s="19">
        <f t="shared" si="0"/>
        <v>41.894353369763202</v>
      </c>
      <c r="J21" s="14">
        <v>46000</v>
      </c>
      <c r="K21" s="14">
        <f>G21-0</f>
        <v>54900</v>
      </c>
      <c r="L21" s="14">
        <v>46000</v>
      </c>
      <c r="M21" s="29">
        <v>0</v>
      </c>
      <c r="N21" s="33">
        <v>0</v>
      </c>
      <c r="O21" s="38">
        <v>0</v>
      </c>
      <c r="P21" s="38">
        <v>0</v>
      </c>
      <c r="Q21" s="14" t="e">
        <f t="shared" si="1"/>
        <v>#DIV/0!</v>
      </c>
      <c r="R21" s="14" t="e">
        <f t="shared" si="2"/>
        <v>#DIV/0!</v>
      </c>
      <c r="S21" s="43" t="e">
        <f t="shared" si="3"/>
        <v>#DIV/0!</v>
      </c>
      <c r="T21" s="38">
        <v>0</v>
      </c>
      <c r="U21" s="5" t="s">
        <v>347</v>
      </c>
      <c r="V21" t="s">
        <v>460</v>
      </c>
      <c r="X21" t="s">
        <v>350</v>
      </c>
      <c r="Y21" s="6" t="s">
        <v>32</v>
      </c>
    </row>
    <row r="22" spans="1:25" hidden="1" x14ac:dyDescent="0.25">
      <c r="A22" t="s">
        <v>461</v>
      </c>
      <c r="B22" t="s">
        <v>462</v>
      </c>
      <c r="C22" s="24">
        <v>44945</v>
      </c>
      <c r="D22" s="14">
        <v>325000</v>
      </c>
      <c r="E22" t="s">
        <v>27</v>
      </c>
      <c r="F22" t="s">
        <v>28</v>
      </c>
      <c r="G22" s="14">
        <v>325000</v>
      </c>
      <c r="H22" s="14">
        <v>166800</v>
      </c>
      <c r="I22" s="19">
        <f t="shared" si="0"/>
        <v>51.323076923076925</v>
      </c>
      <c r="J22" s="14">
        <v>333592</v>
      </c>
      <c r="K22" s="14">
        <f>G22-287592</f>
        <v>37408</v>
      </c>
      <c r="L22" s="14">
        <v>46000</v>
      </c>
      <c r="M22" s="29">
        <v>0</v>
      </c>
      <c r="N22" s="33">
        <v>0</v>
      </c>
      <c r="O22" s="38">
        <v>0.47</v>
      </c>
      <c r="P22" s="38">
        <v>0.47</v>
      </c>
      <c r="Q22" s="14" t="e">
        <f t="shared" si="1"/>
        <v>#DIV/0!</v>
      </c>
      <c r="R22" s="14">
        <f t="shared" si="2"/>
        <v>79591.48936170213</v>
      </c>
      <c r="S22" s="43">
        <f t="shared" si="3"/>
        <v>1.8271691772658891</v>
      </c>
      <c r="T22" s="38">
        <v>0</v>
      </c>
      <c r="U22" s="5" t="s">
        <v>347</v>
      </c>
      <c r="V22" t="s">
        <v>464</v>
      </c>
      <c r="X22" t="s">
        <v>350</v>
      </c>
      <c r="Y22" s="6" t="s">
        <v>32</v>
      </c>
    </row>
    <row r="23" spans="1:25" hidden="1" x14ac:dyDescent="0.25">
      <c r="A23" t="s">
        <v>461</v>
      </c>
      <c r="B23" t="s">
        <v>462</v>
      </c>
      <c r="C23" s="24">
        <v>44568</v>
      </c>
      <c r="D23" s="14">
        <v>313750</v>
      </c>
      <c r="E23" t="s">
        <v>27</v>
      </c>
      <c r="F23" t="s">
        <v>28</v>
      </c>
      <c r="G23" s="14">
        <v>313750</v>
      </c>
      <c r="H23" s="14">
        <v>166800</v>
      </c>
      <c r="I23" s="19">
        <f t="shared" si="0"/>
        <v>53.163346613545812</v>
      </c>
      <c r="J23" s="14">
        <v>333592</v>
      </c>
      <c r="K23" s="14">
        <f>G23-287592</f>
        <v>26158</v>
      </c>
      <c r="L23" s="14">
        <v>46000</v>
      </c>
      <c r="M23" s="29">
        <v>0</v>
      </c>
      <c r="N23" s="33">
        <v>0</v>
      </c>
      <c r="O23" s="38">
        <v>0.47</v>
      </c>
      <c r="P23" s="38">
        <v>0.47</v>
      </c>
      <c r="Q23" s="14" t="e">
        <f t="shared" si="1"/>
        <v>#DIV/0!</v>
      </c>
      <c r="R23" s="14">
        <f t="shared" si="2"/>
        <v>55655.319148936171</v>
      </c>
      <c r="S23" s="43">
        <f t="shared" si="3"/>
        <v>1.2776703202235118</v>
      </c>
      <c r="T23" s="38">
        <v>0</v>
      </c>
      <c r="U23" s="5" t="s">
        <v>347</v>
      </c>
      <c r="V23" t="s">
        <v>463</v>
      </c>
      <c r="X23" t="s">
        <v>350</v>
      </c>
      <c r="Y23" s="6" t="s">
        <v>32</v>
      </c>
    </row>
    <row r="24" spans="1:25" hidden="1" x14ac:dyDescent="0.25">
      <c r="A24" t="s">
        <v>465</v>
      </c>
      <c r="B24" t="s">
        <v>466</v>
      </c>
      <c r="C24" s="24">
        <v>45022</v>
      </c>
      <c r="D24" s="14">
        <v>243400</v>
      </c>
      <c r="E24" t="s">
        <v>27</v>
      </c>
      <c r="F24" t="s">
        <v>28</v>
      </c>
      <c r="G24" s="14">
        <v>243400</v>
      </c>
      <c r="H24" s="14">
        <v>118800</v>
      </c>
      <c r="I24" s="19">
        <f t="shared" si="0"/>
        <v>48.808545603944125</v>
      </c>
      <c r="J24" s="14">
        <v>237579</v>
      </c>
      <c r="K24" s="14">
        <f>G24-195579</f>
        <v>47821</v>
      </c>
      <c r="L24" s="14">
        <v>42000</v>
      </c>
      <c r="M24" s="29">
        <v>0</v>
      </c>
      <c r="N24" s="33">
        <v>0</v>
      </c>
      <c r="O24" s="38">
        <v>0.27</v>
      </c>
      <c r="P24" s="38">
        <v>0.27</v>
      </c>
      <c r="Q24" s="14" t="e">
        <f t="shared" si="1"/>
        <v>#DIV/0!</v>
      </c>
      <c r="R24" s="14">
        <f t="shared" si="2"/>
        <v>177114.8148148148</v>
      </c>
      <c r="S24" s="43">
        <f t="shared" si="3"/>
        <v>4.0659966670067673</v>
      </c>
      <c r="T24" s="38">
        <v>0</v>
      </c>
      <c r="U24" s="5" t="s">
        <v>347</v>
      </c>
      <c r="V24" t="s">
        <v>468</v>
      </c>
      <c r="X24" t="s">
        <v>350</v>
      </c>
      <c r="Y24" s="6" t="s">
        <v>32</v>
      </c>
    </row>
    <row r="25" spans="1:25" hidden="1" x14ac:dyDescent="0.25">
      <c r="A25" t="s">
        <v>465</v>
      </c>
      <c r="B25" t="s">
        <v>466</v>
      </c>
      <c r="C25" s="24">
        <v>44419</v>
      </c>
      <c r="D25" s="14">
        <v>225000</v>
      </c>
      <c r="E25" t="s">
        <v>27</v>
      </c>
      <c r="F25" t="s">
        <v>28</v>
      </c>
      <c r="G25" s="14">
        <v>225000</v>
      </c>
      <c r="H25" s="14">
        <v>118800</v>
      </c>
      <c r="I25" s="19">
        <f t="shared" si="0"/>
        <v>52.800000000000004</v>
      </c>
      <c r="J25" s="14">
        <v>237579</v>
      </c>
      <c r="K25" s="14">
        <f>G25-195579</f>
        <v>29421</v>
      </c>
      <c r="L25" s="14">
        <v>42000</v>
      </c>
      <c r="M25" s="29">
        <v>0</v>
      </c>
      <c r="N25" s="33">
        <v>0</v>
      </c>
      <c r="O25" s="38">
        <v>0.27</v>
      </c>
      <c r="P25" s="38">
        <v>0.27</v>
      </c>
      <c r="Q25" s="14" t="e">
        <f t="shared" si="1"/>
        <v>#DIV/0!</v>
      </c>
      <c r="R25" s="14">
        <f t="shared" si="2"/>
        <v>108966.66666666666</v>
      </c>
      <c r="S25" s="43">
        <f t="shared" si="3"/>
        <v>2.5015304560759102</v>
      </c>
      <c r="T25" s="38">
        <v>0</v>
      </c>
      <c r="U25" s="5" t="s">
        <v>347</v>
      </c>
      <c r="V25" t="s">
        <v>467</v>
      </c>
      <c r="X25" t="s">
        <v>350</v>
      </c>
      <c r="Y25" s="6" t="s">
        <v>32</v>
      </c>
    </row>
    <row r="26" spans="1:25" hidden="1" x14ac:dyDescent="0.25">
      <c r="A26" t="s">
        <v>469</v>
      </c>
      <c r="B26" t="s">
        <v>470</v>
      </c>
      <c r="C26" s="24">
        <v>44558</v>
      </c>
      <c r="D26" s="14">
        <v>250000</v>
      </c>
      <c r="E26" t="s">
        <v>27</v>
      </c>
      <c r="F26" t="s">
        <v>28</v>
      </c>
      <c r="G26" s="14">
        <v>250000</v>
      </c>
      <c r="H26" s="14">
        <v>124200</v>
      </c>
      <c r="I26" s="19">
        <f t="shared" si="0"/>
        <v>49.68</v>
      </c>
      <c r="J26" s="14">
        <v>248310</v>
      </c>
      <c r="K26" s="14">
        <f>G26-206310</f>
        <v>43690</v>
      </c>
      <c r="L26" s="14">
        <v>42000</v>
      </c>
      <c r="M26" s="29">
        <v>0</v>
      </c>
      <c r="N26" s="33">
        <v>0</v>
      </c>
      <c r="O26" s="38">
        <v>0</v>
      </c>
      <c r="P26" s="38">
        <v>0</v>
      </c>
      <c r="Q26" s="14" t="e">
        <f t="shared" si="1"/>
        <v>#DIV/0!</v>
      </c>
      <c r="R26" s="14" t="e">
        <f t="shared" si="2"/>
        <v>#DIV/0!</v>
      </c>
      <c r="S26" s="43" t="e">
        <f t="shared" si="3"/>
        <v>#DIV/0!</v>
      </c>
      <c r="T26" s="38">
        <v>0</v>
      </c>
      <c r="U26" s="5" t="s">
        <v>347</v>
      </c>
      <c r="V26" t="s">
        <v>471</v>
      </c>
      <c r="X26" t="s">
        <v>350</v>
      </c>
      <c r="Y26" s="6" t="s">
        <v>32</v>
      </c>
    </row>
    <row r="27" spans="1:25" hidden="1" x14ac:dyDescent="0.25">
      <c r="A27" t="s">
        <v>472</v>
      </c>
      <c r="B27" t="s">
        <v>473</v>
      </c>
      <c r="C27" s="24">
        <v>44725</v>
      </c>
      <c r="D27" s="14">
        <v>296000</v>
      </c>
      <c r="E27" t="s">
        <v>27</v>
      </c>
      <c r="F27" t="s">
        <v>28</v>
      </c>
      <c r="G27" s="14">
        <v>296000</v>
      </c>
      <c r="H27" s="14">
        <v>125700</v>
      </c>
      <c r="I27" s="19">
        <f t="shared" si="0"/>
        <v>42.466216216216218</v>
      </c>
      <c r="J27" s="14">
        <v>251317</v>
      </c>
      <c r="K27" s="14">
        <f>G27-209317</f>
        <v>86683</v>
      </c>
      <c r="L27" s="14">
        <v>42000</v>
      </c>
      <c r="M27" s="29">
        <v>80</v>
      </c>
      <c r="N27" s="33">
        <v>150</v>
      </c>
      <c r="O27" s="38">
        <v>0.27500000000000002</v>
      </c>
      <c r="P27" s="38">
        <v>0.27500000000000002</v>
      </c>
      <c r="Q27" s="14">
        <f t="shared" si="1"/>
        <v>1083.5374999999999</v>
      </c>
      <c r="R27" s="14">
        <f t="shared" si="2"/>
        <v>315210.90909090906</v>
      </c>
      <c r="S27" s="43">
        <f t="shared" si="3"/>
        <v>7.2362467651723845</v>
      </c>
      <c r="T27" s="38">
        <v>80</v>
      </c>
      <c r="U27" s="5" t="s">
        <v>347</v>
      </c>
      <c r="V27" t="s">
        <v>474</v>
      </c>
      <c r="X27" t="s">
        <v>350</v>
      </c>
      <c r="Y27" s="6" t="s">
        <v>32</v>
      </c>
    </row>
    <row r="28" spans="1:25" hidden="1" x14ac:dyDescent="0.25">
      <c r="A28" t="s">
        <v>475</v>
      </c>
      <c r="B28" t="s">
        <v>476</v>
      </c>
      <c r="C28" s="24">
        <v>44742</v>
      </c>
      <c r="D28" s="14">
        <v>320000</v>
      </c>
      <c r="E28" t="s">
        <v>27</v>
      </c>
      <c r="F28" t="s">
        <v>28</v>
      </c>
      <c r="G28" s="14">
        <v>320000</v>
      </c>
      <c r="H28" s="14">
        <v>134500</v>
      </c>
      <c r="I28" s="19">
        <f t="shared" si="0"/>
        <v>42.03125</v>
      </c>
      <c r="J28" s="14">
        <v>269001</v>
      </c>
      <c r="K28" s="14">
        <f>G28-227001</f>
        <v>92999</v>
      </c>
      <c r="L28" s="14">
        <v>42000</v>
      </c>
      <c r="M28" s="29">
        <v>0</v>
      </c>
      <c r="N28" s="33">
        <v>0</v>
      </c>
      <c r="O28" s="38">
        <v>0</v>
      </c>
      <c r="P28" s="38">
        <v>0</v>
      </c>
      <c r="Q28" s="14" t="e">
        <f t="shared" si="1"/>
        <v>#DIV/0!</v>
      </c>
      <c r="R28" s="14" t="e">
        <f t="shared" si="2"/>
        <v>#DIV/0!</v>
      </c>
      <c r="S28" s="43" t="e">
        <f t="shared" si="3"/>
        <v>#DIV/0!</v>
      </c>
      <c r="T28" s="38">
        <v>0</v>
      </c>
      <c r="U28" s="5" t="s">
        <v>347</v>
      </c>
      <c r="V28" t="s">
        <v>477</v>
      </c>
      <c r="X28" t="s">
        <v>350</v>
      </c>
      <c r="Y28" s="6" t="s">
        <v>32</v>
      </c>
    </row>
    <row r="29" spans="1:25" hidden="1" x14ac:dyDescent="0.25">
      <c r="A29" t="s">
        <v>478</v>
      </c>
      <c r="B29" t="s">
        <v>479</v>
      </c>
      <c r="C29" s="24">
        <v>44421</v>
      </c>
      <c r="D29" s="14">
        <v>238500</v>
      </c>
      <c r="E29" t="s">
        <v>27</v>
      </c>
      <c r="F29" t="s">
        <v>28</v>
      </c>
      <c r="G29" s="14">
        <v>238500</v>
      </c>
      <c r="H29" s="14">
        <v>129400</v>
      </c>
      <c r="I29" s="19">
        <f t="shared" si="0"/>
        <v>54.255765199161424</v>
      </c>
      <c r="J29" s="14">
        <v>258742</v>
      </c>
      <c r="K29" s="14">
        <f>G29-216742</f>
        <v>21758</v>
      </c>
      <c r="L29" s="14">
        <v>42000</v>
      </c>
      <c r="M29" s="29">
        <v>0</v>
      </c>
      <c r="N29" s="33">
        <v>0</v>
      </c>
      <c r="O29" s="38">
        <v>0</v>
      </c>
      <c r="P29" s="38">
        <v>0</v>
      </c>
      <c r="Q29" s="14" t="e">
        <f t="shared" si="1"/>
        <v>#DIV/0!</v>
      </c>
      <c r="R29" s="14" t="e">
        <f t="shared" si="2"/>
        <v>#DIV/0!</v>
      </c>
      <c r="S29" s="43" t="e">
        <f t="shared" si="3"/>
        <v>#DIV/0!</v>
      </c>
      <c r="T29" s="38">
        <v>0</v>
      </c>
      <c r="U29" s="5" t="s">
        <v>347</v>
      </c>
      <c r="V29" t="s">
        <v>480</v>
      </c>
      <c r="X29" t="s">
        <v>350</v>
      </c>
      <c r="Y29" s="6" t="s">
        <v>32</v>
      </c>
    </row>
    <row r="30" spans="1:25" hidden="1" x14ac:dyDescent="0.25">
      <c r="A30" t="s">
        <v>481</v>
      </c>
      <c r="B30" t="s">
        <v>482</v>
      </c>
      <c r="C30" s="24">
        <v>44316</v>
      </c>
      <c r="D30" s="14">
        <v>270000</v>
      </c>
      <c r="E30" t="s">
        <v>27</v>
      </c>
      <c r="F30" t="s">
        <v>28</v>
      </c>
      <c r="G30" s="14">
        <v>270000</v>
      </c>
      <c r="H30" s="14">
        <v>137000</v>
      </c>
      <c r="I30" s="19">
        <f t="shared" si="0"/>
        <v>50.74074074074074</v>
      </c>
      <c r="J30" s="14">
        <v>274099</v>
      </c>
      <c r="K30" s="14">
        <f>G30-232099</f>
        <v>37901</v>
      </c>
      <c r="L30" s="14">
        <v>42000</v>
      </c>
      <c r="M30" s="29">
        <v>0</v>
      </c>
      <c r="N30" s="33">
        <v>0</v>
      </c>
      <c r="O30" s="38">
        <v>0</v>
      </c>
      <c r="P30" s="38">
        <v>0</v>
      </c>
      <c r="Q30" s="14" t="e">
        <f t="shared" si="1"/>
        <v>#DIV/0!</v>
      </c>
      <c r="R30" s="14" t="e">
        <f t="shared" si="2"/>
        <v>#DIV/0!</v>
      </c>
      <c r="S30" s="43" t="e">
        <f t="shared" si="3"/>
        <v>#DIV/0!</v>
      </c>
      <c r="T30" s="38">
        <v>0</v>
      </c>
      <c r="U30" s="5" t="s">
        <v>347</v>
      </c>
      <c r="V30" t="s">
        <v>483</v>
      </c>
      <c r="X30" t="s">
        <v>350</v>
      </c>
      <c r="Y30" s="6" t="s">
        <v>32</v>
      </c>
    </row>
    <row r="31" spans="1:25" hidden="1" x14ac:dyDescent="0.25">
      <c r="A31" t="s">
        <v>484</v>
      </c>
      <c r="B31" t="s">
        <v>485</v>
      </c>
      <c r="C31" s="24">
        <v>45169</v>
      </c>
      <c r="D31" s="14">
        <v>289900</v>
      </c>
      <c r="E31" t="s">
        <v>27</v>
      </c>
      <c r="F31" t="s">
        <v>28</v>
      </c>
      <c r="G31" s="14">
        <v>289900</v>
      </c>
      <c r="H31" s="14">
        <v>152100</v>
      </c>
      <c r="I31" s="19">
        <f t="shared" si="0"/>
        <v>52.46636771300448</v>
      </c>
      <c r="J31" s="14">
        <v>304132</v>
      </c>
      <c r="K31" s="14">
        <f>G31-262132</f>
        <v>27768</v>
      </c>
      <c r="L31" s="14">
        <v>42000</v>
      </c>
      <c r="M31" s="29">
        <v>0</v>
      </c>
      <c r="N31" s="33">
        <v>0</v>
      </c>
      <c r="O31" s="38">
        <v>0</v>
      </c>
      <c r="P31" s="38">
        <v>0</v>
      </c>
      <c r="Q31" s="14" t="e">
        <f t="shared" si="1"/>
        <v>#DIV/0!</v>
      </c>
      <c r="R31" s="14" t="e">
        <f t="shared" si="2"/>
        <v>#DIV/0!</v>
      </c>
      <c r="S31" s="43" t="e">
        <f t="shared" si="3"/>
        <v>#DIV/0!</v>
      </c>
      <c r="T31" s="38">
        <v>0</v>
      </c>
      <c r="U31" s="5" t="s">
        <v>347</v>
      </c>
      <c r="V31" t="s">
        <v>486</v>
      </c>
      <c r="X31" t="s">
        <v>350</v>
      </c>
      <c r="Y31" s="6" t="s">
        <v>32</v>
      </c>
    </row>
    <row r="32" spans="1:25" hidden="1" x14ac:dyDescent="0.25">
      <c r="A32" t="s">
        <v>487</v>
      </c>
      <c r="B32" t="s">
        <v>488</v>
      </c>
      <c r="C32" s="24">
        <v>44617</v>
      </c>
      <c r="D32" s="14">
        <v>290000</v>
      </c>
      <c r="E32" t="s">
        <v>27</v>
      </c>
      <c r="F32" t="s">
        <v>28</v>
      </c>
      <c r="G32" s="14">
        <v>290000</v>
      </c>
      <c r="H32" s="14">
        <v>154400</v>
      </c>
      <c r="I32" s="19">
        <f t="shared" si="0"/>
        <v>53.241379310344826</v>
      </c>
      <c r="J32" s="14">
        <v>308741</v>
      </c>
      <c r="K32" s="14">
        <f>G32-266741</f>
        <v>23259</v>
      </c>
      <c r="L32" s="14">
        <v>42000</v>
      </c>
      <c r="M32" s="29">
        <v>0</v>
      </c>
      <c r="N32" s="33">
        <v>0</v>
      </c>
      <c r="O32" s="38">
        <v>0</v>
      </c>
      <c r="P32" s="38">
        <v>0</v>
      </c>
      <c r="Q32" s="14" t="e">
        <f t="shared" si="1"/>
        <v>#DIV/0!</v>
      </c>
      <c r="R32" s="14" t="e">
        <f t="shared" si="2"/>
        <v>#DIV/0!</v>
      </c>
      <c r="S32" s="43" t="e">
        <f t="shared" si="3"/>
        <v>#DIV/0!</v>
      </c>
      <c r="T32" s="38">
        <v>0</v>
      </c>
      <c r="U32" s="5" t="s">
        <v>347</v>
      </c>
      <c r="V32" t="s">
        <v>489</v>
      </c>
      <c r="X32" t="s">
        <v>350</v>
      </c>
      <c r="Y32" s="6" t="s">
        <v>32</v>
      </c>
    </row>
    <row r="33" spans="1:25" hidden="1" x14ac:dyDescent="0.25">
      <c r="A33" t="s">
        <v>490</v>
      </c>
      <c r="B33" t="s">
        <v>491</v>
      </c>
      <c r="C33" s="24">
        <v>44722</v>
      </c>
      <c r="D33" s="14">
        <v>271500</v>
      </c>
      <c r="E33" t="s">
        <v>27</v>
      </c>
      <c r="F33" t="s">
        <v>28</v>
      </c>
      <c r="G33" s="14">
        <v>271500</v>
      </c>
      <c r="H33" s="14">
        <v>123900</v>
      </c>
      <c r="I33" s="19">
        <f t="shared" si="0"/>
        <v>45.635359116022101</v>
      </c>
      <c r="J33" s="14">
        <v>247851</v>
      </c>
      <c r="K33" s="14">
        <f>G33-205851</f>
        <v>65649</v>
      </c>
      <c r="L33" s="14">
        <v>42000</v>
      </c>
      <c r="M33" s="29">
        <v>0</v>
      </c>
      <c r="N33" s="33">
        <v>0</v>
      </c>
      <c r="O33" s="38">
        <v>0</v>
      </c>
      <c r="P33" s="38">
        <v>0</v>
      </c>
      <c r="Q33" s="14" t="e">
        <f t="shared" si="1"/>
        <v>#DIV/0!</v>
      </c>
      <c r="R33" s="14" t="e">
        <f t="shared" si="2"/>
        <v>#DIV/0!</v>
      </c>
      <c r="S33" s="43" t="e">
        <f t="shared" si="3"/>
        <v>#DIV/0!</v>
      </c>
      <c r="T33" s="38">
        <v>0</v>
      </c>
      <c r="U33" s="5" t="s">
        <v>347</v>
      </c>
      <c r="V33" t="s">
        <v>492</v>
      </c>
      <c r="X33" t="s">
        <v>350</v>
      </c>
      <c r="Y33" s="6" t="s">
        <v>32</v>
      </c>
    </row>
    <row r="34" spans="1:25" hidden="1" x14ac:dyDescent="0.25">
      <c r="A34" t="s">
        <v>493</v>
      </c>
      <c r="B34" t="s">
        <v>494</v>
      </c>
      <c r="C34" s="24">
        <v>45069</v>
      </c>
      <c r="D34" s="14">
        <v>300000</v>
      </c>
      <c r="E34" t="s">
        <v>27</v>
      </c>
      <c r="F34" t="s">
        <v>28</v>
      </c>
      <c r="G34" s="14">
        <v>300000</v>
      </c>
      <c r="H34" s="14">
        <v>153600</v>
      </c>
      <c r="I34" s="19">
        <f t="shared" si="0"/>
        <v>51.2</v>
      </c>
      <c r="J34" s="14">
        <v>307222</v>
      </c>
      <c r="K34" s="14">
        <f>G34-265222</f>
        <v>34778</v>
      </c>
      <c r="L34" s="14">
        <v>42000</v>
      </c>
      <c r="M34" s="29">
        <v>0</v>
      </c>
      <c r="N34" s="33">
        <v>0</v>
      </c>
      <c r="O34" s="38">
        <v>0</v>
      </c>
      <c r="P34" s="38">
        <v>0</v>
      </c>
      <c r="Q34" s="14" t="e">
        <f t="shared" si="1"/>
        <v>#DIV/0!</v>
      </c>
      <c r="R34" s="14" t="e">
        <f t="shared" si="2"/>
        <v>#DIV/0!</v>
      </c>
      <c r="S34" s="43" t="e">
        <f t="shared" si="3"/>
        <v>#DIV/0!</v>
      </c>
      <c r="T34" s="38">
        <v>0</v>
      </c>
      <c r="U34" s="5" t="s">
        <v>347</v>
      </c>
      <c r="V34" t="s">
        <v>495</v>
      </c>
      <c r="X34" t="s">
        <v>350</v>
      </c>
      <c r="Y34" s="6" t="s">
        <v>32</v>
      </c>
    </row>
    <row r="35" spans="1:25" hidden="1" x14ac:dyDescent="0.25">
      <c r="A35" t="s">
        <v>496</v>
      </c>
      <c r="B35" t="s">
        <v>497</v>
      </c>
      <c r="C35" s="24">
        <v>44847</v>
      </c>
      <c r="D35" s="14">
        <v>260000</v>
      </c>
      <c r="E35" t="s">
        <v>27</v>
      </c>
      <c r="F35" t="s">
        <v>28</v>
      </c>
      <c r="G35" s="14">
        <v>260000</v>
      </c>
      <c r="H35" s="14">
        <v>115300</v>
      </c>
      <c r="I35" s="19">
        <f t="shared" si="0"/>
        <v>44.346153846153847</v>
      </c>
      <c r="J35" s="14">
        <v>230576</v>
      </c>
      <c r="K35" s="14">
        <f>G35-188576</f>
        <v>71424</v>
      </c>
      <c r="L35" s="14">
        <v>42000</v>
      </c>
      <c r="M35" s="29">
        <v>0</v>
      </c>
      <c r="N35" s="33">
        <v>0</v>
      </c>
      <c r="O35" s="38">
        <v>0</v>
      </c>
      <c r="P35" s="38">
        <v>0</v>
      </c>
      <c r="Q35" s="14" t="e">
        <f t="shared" si="1"/>
        <v>#DIV/0!</v>
      </c>
      <c r="R35" s="14" t="e">
        <f t="shared" si="2"/>
        <v>#DIV/0!</v>
      </c>
      <c r="S35" s="43" t="e">
        <f t="shared" si="3"/>
        <v>#DIV/0!</v>
      </c>
      <c r="T35" s="38">
        <v>0</v>
      </c>
      <c r="U35" s="5" t="s">
        <v>347</v>
      </c>
      <c r="V35" t="s">
        <v>498</v>
      </c>
      <c r="X35" t="s">
        <v>350</v>
      </c>
      <c r="Y35" s="6" t="s">
        <v>32</v>
      </c>
    </row>
    <row r="36" spans="1:25" hidden="1" x14ac:dyDescent="0.25">
      <c r="A36" t="s">
        <v>499</v>
      </c>
      <c r="B36" t="s">
        <v>500</v>
      </c>
      <c r="C36" s="24">
        <v>44764</v>
      </c>
      <c r="D36" s="14">
        <v>260000</v>
      </c>
      <c r="E36" t="s">
        <v>27</v>
      </c>
      <c r="F36" t="s">
        <v>28</v>
      </c>
      <c r="G36" s="14">
        <v>260000</v>
      </c>
      <c r="H36" s="14">
        <v>144000</v>
      </c>
      <c r="I36" s="19">
        <f t="shared" ref="I36:I67" si="4">H36/G36*100</f>
        <v>55.384615384615387</v>
      </c>
      <c r="J36" s="14">
        <v>288033</v>
      </c>
      <c r="K36" s="14">
        <f>G36-246033</f>
        <v>13967</v>
      </c>
      <c r="L36" s="14">
        <v>42000</v>
      </c>
      <c r="M36" s="29">
        <v>0</v>
      </c>
      <c r="N36" s="33">
        <v>0</v>
      </c>
      <c r="O36" s="38">
        <v>0</v>
      </c>
      <c r="P36" s="38">
        <v>0</v>
      </c>
      <c r="Q36" s="14" t="e">
        <f t="shared" ref="Q36:Q67" si="5">K36/M36</f>
        <v>#DIV/0!</v>
      </c>
      <c r="R36" s="14" t="e">
        <f t="shared" ref="R36:R67" si="6">K36/O36</f>
        <v>#DIV/0!</v>
      </c>
      <c r="S36" s="43" t="e">
        <f t="shared" ref="S36:S67" si="7">K36/O36/43560</f>
        <v>#DIV/0!</v>
      </c>
      <c r="T36" s="38">
        <v>0</v>
      </c>
      <c r="U36" s="5" t="s">
        <v>347</v>
      </c>
      <c r="V36" t="s">
        <v>501</v>
      </c>
      <c r="X36" t="s">
        <v>350</v>
      </c>
      <c r="Y36" s="6" t="s">
        <v>32</v>
      </c>
    </row>
    <row r="37" spans="1:25" hidden="1" x14ac:dyDescent="0.25">
      <c r="A37" t="s">
        <v>502</v>
      </c>
      <c r="B37" t="s">
        <v>503</v>
      </c>
      <c r="C37" s="24">
        <v>44991</v>
      </c>
      <c r="D37" s="14">
        <v>250000</v>
      </c>
      <c r="E37" t="s">
        <v>27</v>
      </c>
      <c r="F37" t="s">
        <v>28</v>
      </c>
      <c r="G37" s="14">
        <v>250000</v>
      </c>
      <c r="H37" s="14">
        <v>120000</v>
      </c>
      <c r="I37" s="19">
        <f t="shared" si="4"/>
        <v>48</v>
      </c>
      <c r="J37" s="14">
        <v>239991</v>
      </c>
      <c r="K37" s="14">
        <f>G37-197991</f>
        <v>52009</v>
      </c>
      <c r="L37" s="14">
        <v>42000</v>
      </c>
      <c r="M37" s="29">
        <v>0</v>
      </c>
      <c r="N37" s="33">
        <v>0</v>
      </c>
      <c r="O37" s="38">
        <v>0</v>
      </c>
      <c r="P37" s="38">
        <v>0</v>
      </c>
      <c r="Q37" s="14" t="e">
        <f t="shared" si="5"/>
        <v>#DIV/0!</v>
      </c>
      <c r="R37" s="14" t="e">
        <f t="shared" si="6"/>
        <v>#DIV/0!</v>
      </c>
      <c r="S37" s="43" t="e">
        <f t="shared" si="7"/>
        <v>#DIV/0!</v>
      </c>
      <c r="T37" s="38">
        <v>0</v>
      </c>
      <c r="U37" s="5" t="s">
        <v>347</v>
      </c>
      <c r="V37" t="s">
        <v>504</v>
      </c>
      <c r="X37" t="s">
        <v>350</v>
      </c>
      <c r="Y37" s="6" t="s">
        <v>32</v>
      </c>
    </row>
    <row r="38" spans="1:25" hidden="1" x14ac:dyDescent="0.25">
      <c r="A38" t="s">
        <v>505</v>
      </c>
      <c r="B38" t="s">
        <v>506</v>
      </c>
      <c r="C38" s="24">
        <v>44740</v>
      </c>
      <c r="D38" s="14">
        <v>320000</v>
      </c>
      <c r="E38" t="s">
        <v>27</v>
      </c>
      <c r="F38" t="s">
        <v>28</v>
      </c>
      <c r="G38" s="14">
        <v>320000</v>
      </c>
      <c r="H38" s="14">
        <v>166200</v>
      </c>
      <c r="I38" s="19">
        <f t="shared" si="4"/>
        <v>51.9375</v>
      </c>
      <c r="J38" s="14">
        <v>332486</v>
      </c>
      <c r="K38" s="14">
        <f>G38-290486</f>
        <v>29514</v>
      </c>
      <c r="L38" s="14">
        <v>42000</v>
      </c>
      <c r="M38" s="29">
        <v>0</v>
      </c>
      <c r="N38" s="33">
        <v>0</v>
      </c>
      <c r="O38" s="38">
        <v>0</v>
      </c>
      <c r="P38" s="38">
        <v>0</v>
      </c>
      <c r="Q38" s="14" t="e">
        <f t="shared" si="5"/>
        <v>#DIV/0!</v>
      </c>
      <c r="R38" s="14" t="e">
        <f t="shared" si="6"/>
        <v>#DIV/0!</v>
      </c>
      <c r="S38" s="43" t="e">
        <f t="shared" si="7"/>
        <v>#DIV/0!</v>
      </c>
      <c r="T38" s="38">
        <v>0</v>
      </c>
      <c r="U38" s="5" t="s">
        <v>347</v>
      </c>
      <c r="V38" t="s">
        <v>507</v>
      </c>
      <c r="X38" t="s">
        <v>350</v>
      </c>
      <c r="Y38" s="6" t="s">
        <v>32</v>
      </c>
    </row>
    <row r="39" spans="1:25" hidden="1" x14ac:dyDescent="0.25">
      <c r="A39" t="s">
        <v>508</v>
      </c>
      <c r="B39" t="s">
        <v>509</v>
      </c>
      <c r="C39" s="24">
        <v>44610</v>
      </c>
      <c r="D39" s="14">
        <v>236000</v>
      </c>
      <c r="E39" t="s">
        <v>27</v>
      </c>
      <c r="F39" t="s">
        <v>28</v>
      </c>
      <c r="G39" s="14">
        <v>236000</v>
      </c>
      <c r="H39" s="14">
        <v>119800</v>
      </c>
      <c r="I39" s="19">
        <f t="shared" si="4"/>
        <v>50.762711864406782</v>
      </c>
      <c r="J39" s="14">
        <v>239631</v>
      </c>
      <c r="K39" s="14">
        <f>G39-197631</f>
        <v>38369</v>
      </c>
      <c r="L39" s="14">
        <v>42000</v>
      </c>
      <c r="M39" s="29">
        <v>0</v>
      </c>
      <c r="N39" s="33">
        <v>0</v>
      </c>
      <c r="O39" s="38">
        <v>0</v>
      </c>
      <c r="P39" s="38">
        <v>0</v>
      </c>
      <c r="Q39" s="14" t="e">
        <f t="shared" si="5"/>
        <v>#DIV/0!</v>
      </c>
      <c r="R39" s="14" t="e">
        <f t="shared" si="6"/>
        <v>#DIV/0!</v>
      </c>
      <c r="S39" s="43" t="e">
        <f t="shared" si="7"/>
        <v>#DIV/0!</v>
      </c>
      <c r="T39" s="38">
        <v>0</v>
      </c>
      <c r="U39" s="5" t="s">
        <v>347</v>
      </c>
      <c r="V39" t="s">
        <v>510</v>
      </c>
      <c r="X39" t="s">
        <v>350</v>
      </c>
      <c r="Y39" s="6" t="s">
        <v>32</v>
      </c>
    </row>
    <row r="40" spans="1:25" hidden="1" x14ac:dyDescent="0.25">
      <c r="A40" t="s">
        <v>511</v>
      </c>
      <c r="B40" t="s">
        <v>512</v>
      </c>
      <c r="C40" s="24">
        <v>44350</v>
      </c>
      <c r="D40" s="14">
        <v>345000</v>
      </c>
      <c r="E40" t="s">
        <v>27</v>
      </c>
      <c r="F40" t="s">
        <v>28</v>
      </c>
      <c r="G40" s="14">
        <v>345000</v>
      </c>
      <c r="H40" s="14">
        <v>185600</v>
      </c>
      <c r="I40" s="19">
        <f t="shared" si="4"/>
        <v>53.797101449275367</v>
      </c>
      <c r="J40" s="14">
        <v>371159</v>
      </c>
      <c r="K40" s="14">
        <f>G40-329159</f>
        <v>15841</v>
      </c>
      <c r="L40" s="14">
        <v>42000</v>
      </c>
      <c r="M40" s="29">
        <v>0</v>
      </c>
      <c r="N40" s="33">
        <v>0</v>
      </c>
      <c r="O40" s="38">
        <v>0</v>
      </c>
      <c r="P40" s="38">
        <v>0</v>
      </c>
      <c r="Q40" s="14" t="e">
        <f t="shared" si="5"/>
        <v>#DIV/0!</v>
      </c>
      <c r="R40" s="14" t="e">
        <f t="shared" si="6"/>
        <v>#DIV/0!</v>
      </c>
      <c r="S40" s="43" t="e">
        <f t="shared" si="7"/>
        <v>#DIV/0!</v>
      </c>
      <c r="T40" s="38">
        <v>0</v>
      </c>
      <c r="U40" s="5" t="s">
        <v>347</v>
      </c>
      <c r="V40" t="s">
        <v>513</v>
      </c>
      <c r="X40" t="s">
        <v>350</v>
      </c>
      <c r="Y40" s="6" t="s">
        <v>32</v>
      </c>
    </row>
    <row r="41" spans="1:25" hidden="1" x14ac:dyDescent="0.25">
      <c r="A41" t="s">
        <v>514</v>
      </c>
      <c r="B41" t="s">
        <v>515</v>
      </c>
      <c r="C41" s="24">
        <v>44470</v>
      </c>
      <c r="D41" s="14">
        <v>265000</v>
      </c>
      <c r="E41" t="s">
        <v>27</v>
      </c>
      <c r="F41" t="s">
        <v>28</v>
      </c>
      <c r="G41" s="14">
        <v>265000</v>
      </c>
      <c r="H41" s="14">
        <v>146000</v>
      </c>
      <c r="I41" s="19">
        <f t="shared" si="4"/>
        <v>55.094339622641506</v>
      </c>
      <c r="J41" s="14">
        <v>291999</v>
      </c>
      <c r="K41" s="14">
        <f>G41-249999</f>
        <v>15001</v>
      </c>
      <c r="L41" s="14">
        <v>42000</v>
      </c>
      <c r="M41" s="29">
        <v>0</v>
      </c>
      <c r="N41" s="33">
        <v>0</v>
      </c>
      <c r="O41" s="38">
        <v>0</v>
      </c>
      <c r="P41" s="38">
        <v>0</v>
      </c>
      <c r="Q41" s="14" t="e">
        <f t="shared" si="5"/>
        <v>#DIV/0!</v>
      </c>
      <c r="R41" s="14" t="e">
        <f t="shared" si="6"/>
        <v>#DIV/0!</v>
      </c>
      <c r="S41" s="43" t="e">
        <f t="shared" si="7"/>
        <v>#DIV/0!</v>
      </c>
      <c r="T41" s="38">
        <v>0</v>
      </c>
      <c r="U41" s="5" t="s">
        <v>347</v>
      </c>
      <c r="V41" t="s">
        <v>516</v>
      </c>
      <c r="X41" t="s">
        <v>350</v>
      </c>
      <c r="Y41" s="6" t="s">
        <v>32</v>
      </c>
    </row>
    <row r="42" spans="1:25" hidden="1" x14ac:dyDescent="0.25">
      <c r="A42" t="s">
        <v>517</v>
      </c>
      <c r="B42" t="s">
        <v>518</v>
      </c>
      <c r="C42" s="24">
        <v>44533</v>
      </c>
      <c r="D42" s="14">
        <v>287000</v>
      </c>
      <c r="E42" t="s">
        <v>27</v>
      </c>
      <c r="F42" t="s">
        <v>28</v>
      </c>
      <c r="G42" s="14">
        <v>287000</v>
      </c>
      <c r="H42" s="14">
        <v>151500</v>
      </c>
      <c r="I42" s="19">
        <f t="shared" si="4"/>
        <v>52.78745644599303</v>
      </c>
      <c r="J42" s="14">
        <v>303057</v>
      </c>
      <c r="K42" s="14">
        <f>G42-261057</f>
        <v>25943</v>
      </c>
      <c r="L42" s="14">
        <v>42000</v>
      </c>
      <c r="M42" s="29">
        <v>0</v>
      </c>
      <c r="N42" s="33">
        <v>0</v>
      </c>
      <c r="O42" s="38">
        <v>0</v>
      </c>
      <c r="P42" s="38">
        <v>0</v>
      </c>
      <c r="Q42" s="14" t="e">
        <f t="shared" si="5"/>
        <v>#DIV/0!</v>
      </c>
      <c r="R42" s="14" t="e">
        <f t="shared" si="6"/>
        <v>#DIV/0!</v>
      </c>
      <c r="S42" s="43" t="e">
        <f t="shared" si="7"/>
        <v>#DIV/0!</v>
      </c>
      <c r="T42" s="38">
        <v>0</v>
      </c>
      <c r="U42" s="5" t="s">
        <v>347</v>
      </c>
      <c r="V42" t="s">
        <v>519</v>
      </c>
      <c r="X42" t="s">
        <v>350</v>
      </c>
      <c r="Y42" s="6" t="s">
        <v>32</v>
      </c>
    </row>
    <row r="43" spans="1:25" hidden="1" x14ac:dyDescent="0.25">
      <c r="A43" t="s">
        <v>520</v>
      </c>
      <c r="B43" t="s">
        <v>521</v>
      </c>
      <c r="C43" s="24">
        <v>44358</v>
      </c>
      <c r="D43" s="14">
        <v>291760</v>
      </c>
      <c r="E43" t="s">
        <v>27</v>
      </c>
      <c r="F43" t="s">
        <v>28</v>
      </c>
      <c r="G43" s="14">
        <v>291760</v>
      </c>
      <c r="H43" s="14">
        <v>156900</v>
      </c>
      <c r="I43" s="19">
        <f t="shared" si="4"/>
        <v>53.777077049629831</v>
      </c>
      <c r="J43" s="14">
        <v>313886</v>
      </c>
      <c r="K43" s="14">
        <f>G43-271886</f>
        <v>19874</v>
      </c>
      <c r="L43" s="14">
        <v>42000</v>
      </c>
      <c r="M43" s="29">
        <v>0</v>
      </c>
      <c r="N43" s="33">
        <v>0</v>
      </c>
      <c r="O43" s="38">
        <v>0.751</v>
      </c>
      <c r="P43" s="38">
        <v>0.751</v>
      </c>
      <c r="Q43" s="14" t="e">
        <f t="shared" si="5"/>
        <v>#DIV/0!</v>
      </c>
      <c r="R43" s="14">
        <f t="shared" si="6"/>
        <v>26463.382157123833</v>
      </c>
      <c r="S43" s="43">
        <f t="shared" si="7"/>
        <v>0.6075156601727234</v>
      </c>
      <c r="T43" s="38">
        <v>0</v>
      </c>
      <c r="U43" s="5" t="s">
        <v>347</v>
      </c>
      <c r="V43" t="s">
        <v>522</v>
      </c>
      <c r="X43" t="s">
        <v>350</v>
      </c>
      <c r="Y43" s="6" t="s">
        <v>32</v>
      </c>
    </row>
    <row r="44" spans="1:25" hidden="1" x14ac:dyDescent="0.25">
      <c r="A44" t="s">
        <v>523</v>
      </c>
      <c r="B44" t="s">
        <v>524</v>
      </c>
      <c r="C44" s="24">
        <v>44763</v>
      </c>
      <c r="D44" s="14">
        <v>130000</v>
      </c>
      <c r="E44" t="s">
        <v>27</v>
      </c>
      <c r="F44" t="s">
        <v>28</v>
      </c>
      <c r="G44" s="14">
        <v>130000</v>
      </c>
      <c r="H44" s="14">
        <v>28000</v>
      </c>
      <c r="I44" s="19">
        <f t="shared" si="4"/>
        <v>21.53846153846154</v>
      </c>
      <c r="J44" s="14">
        <v>56000</v>
      </c>
      <c r="K44" s="14">
        <f>G44-0</f>
        <v>130000</v>
      </c>
      <c r="L44" s="14">
        <v>56000</v>
      </c>
      <c r="M44" s="29">
        <v>0</v>
      </c>
      <c r="N44" s="33">
        <v>0</v>
      </c>
      <c r="O44" s="38">
        <v>1.1559999999999999</v>
      </c>
      <c r="P44" s="38">
        <v>1.1559999999999999</v>
      </c>
      <c r="Q44" s="14" t="e">
        <f t="shared" si="5"/>
        <v>#DIV/0!</v>
      </c>
      <c r="R44" s="14">
        <f t="shared" si="6"/>
        <v>112456.7474048443</v>
      </c>
      <c r="S44" s="43">
        <f t="shared" si="7"/>
        <v>2.5816516851433495</v>
      </c>
      <c r="T44" s="38">
        <v>0</v>
      </c>
      <c r="U44" s="5" t="s">
        <v>347</v>
      </c>
      <c r="V44" t="s">
        <v>525</v>
      </c>
      <c r="X44" t="s">
        <v>444</v>
      </c>
      <c r="Y44" s="6" t="s">
        <v>113</v>
      </c>
    </row>
    <row r="45" spans="1:25" hidden="1" x14ac:dyDescent="0.25">
      <c r="A45" t="s">
        <v>538</v>
      </c>
      <c r="B45" t="s">
        <v>539</v>
      </c>
      <c r="C45" s="24">
        <v>44981</v>
      </c>
      <c r="D45" s="14">
        <v>440000</v>
      </c>
      <c r="E45" t="s">
        <v>27</v>
      </c>
      <c r="F45" t="s">
        <v>28</v>
      </c>
      <c r="G45" s="14">
        <v>440000</v>
      </c>
      <c r="H45" s="14">
        <v>187600</v>
      </c>
      <c r="I45" s="19">
        <f t="shared" si="4"/>
        <v>42.63636363636364</v>
      </c>
      <c r="J45" s="14">
        <v>375118</v>
      </c>
      <c r="K45" s="14">
        <f>G45-333118</f>
        <v>106882</v>
      </c>
      <c r="L45" s="14">
        <v>42000</v>
      </c>
      <c r="M45" s="29">
        <v>0</v>
      </c>
      <c r="N45" s="33">
        <v>0</v>
      </c>
      <c r="O45" s="38">
        <v>0</v>
      </c>
      <c r="P45" s="38">
        <v>0</v>
      </c>
      <c r="Q45" s="14" t="e">
        <f t="shared" si="5"/>
        <v>#DIV/0!</v>
      </c>
      <c r="R45" s="14" t="e">
        <f t="shared" si="6"/>
        <v>#DIV/0!</v>
      </c>
      <c r="S45" s="43" t="e">
        <f t="shared" si="7"/>
        <v>#DIV/0!</v>
      </c>
      <c r="T45" s="38">
        <v>0</v>
      </c>
      <c r="U45" s="5" t="s">
        <v>347</v>
      </c>
      <c r="V45" t="s">
        <v>540</v>
      </c>
      <c r="X45" t="s">
        <v>350</v>
      </c>
      <c r="Y45" s="6" t="s">
        <v>32</v>
      </c>
    </row>
    <row r="46" spans="1:25" hidden="1" x14ac:dyDescent="0.25">
      <c r="A46" t="s">
        <v>541</v>
      </c>
      <c r="B46" t="s">
        <v>542</v>
      </c>
      <c r="C46" s="24">
        <v>44813</v>
      </c>
      <c r="D46" s="14">
        <v>457000</v>
      </c>
      <c r="E46" t="s">
        <v>27</v>
      </c>
      <c r="F46" t="s">
        <v>28</v>
      </c>
      <c r="G46" s="14">
        <v>457000</v>
      </c>
      <c r="H46" s="14">
        <v>211400</v>
      </c>
      <c r="I46" s="19">
        <f t="shared" si="4"/>
        <v>46.258205689277901</v>
      </c>
      <c r="J46" s="14">
        <v>422815</v>
      </c>
      <c r="K46" s="14">
        <f>G46-369615</f>
        <v>87385</v>
      </c>
      <c r="L46" s="14">
        <v>53200</v>
      </c>
      <c r="M46" s="29">
        <v>0</v>
      </c>
      <c r="N46" s="33">
        <v>0</v>
      </c>
      <c r="O46" s="38">
        <v>0</v>
      </c>
      <c r="P46" s="38">
        <v>0</v>
      </c>
      <c r="Q46" s="14" t="e">
        <f t="shared" si="5"/>
        <v>#DIV/0!</v>
      </c>
      <c r="R46" s="14" t="e">
        <f t="shared" si="6"/>
        <v>#DIV/0!</v>
      </c>
      <c r="S46" s="43" t="e">
        <f t="shared" si="7"/>
        <v>#DIV/0!</v>
      </c>
      <c r="T46" s="38">
        <v>0</v>
      </c>
      <c r="U46" s="5" t="s">
        <v>347</v>
      </c>
      <c r="V46" t="s">
        <v>543</v>
      </c>
      <c r="X46" t="s">
        <v>444</v>
      </c>
      <c r="Y46" s="6" t="s">
        <v>32</v>
      </c>
    </row>
    <row r="47" spans="1:25" hidden="1" x14ac:dyDescent="0.25">
      <c r="A47" t="s">
        <v>544</v>
      </c>
      <c r="B47" t="s">
        <v>545</v>
      </c>
      <c r="C47" s="24">
        <v>44365</v>
      </c>
      <c r="D47" s="14">
        <v>350000</v>
      </c>
      <c r="E47" t="s">
        <v>27</v>
      </c>
      <c r="F47" t="s">
        <v>28</v>
      </c>
      <c r="G47" s="14">
        <v>350000</v>
      </c>
      <c r="H47" s="14">
        <v>182200</v>
      </c>
      <c r="I47" s="19">
        <f t="shared" si="4"/>
        <v>52.057142857142857</v>
      </c>
      <c r="J47" s="14">
        <v>364306</v>
      </c>
      <c r="K47" s="14">
        <f>G47-322306</f>
        <v>27694</v>
      </c>
      <c r="L47" s="14">
        <v>42000</v>
      </c>
      <c r="M47" s="29">
        <v>0</v>
      </c>
      <c r="N47" s="33">
        <v>0</v>
      </c>
      <c r="O47" s="38">
        <v>0</v>
      </c>
      <c r="P47" s="38">
        <v>0</v>
      </c>
      <c r="Q47" s="14" t="e">
        <f t="shared" si="5"/>
        <v>#DIV/0!</v>
      </c>
      <c r="R47" s="14" t="e">
        <f t="shared" si="6"/>
        <v>#DIV/0!</v>
      </c>
      <c r="S47" s="43" t="e">
        <f t="shared" si="7"/>
        <v>#DIV/0!</v>
      </c>
      <c r="T47" s="38">
        <v>0</v>
      </c>
      <c r="U47" s="5" t="s">
        <v>347</v>
      </c>
      <c r="V47" t="s">
        <v>546</v>
      </c>
      <c r="X47" t="s">
        <v>350</v>
      </c>
      <c r="Y47" s="6" t="s">
        <v>32</v>
      </c>
    </row>
    <row r="48" spans="1:25" hidden="1" x14ac:dyDescent="0.25">
      <c r="A48" t="s">
        <v>547</v>
      </c>
      <c r="B48" t="s">
        <v>548</v>
      </c>
      <c r="C48" s="24">
        <v>45106</v>
      </c>
      <c r="D48" s="14">
        <v>365000</v>
      </c>
      <c r="E48" t="s">
        <v>27</v>
      </c>
      <c r="F48" t="s">
        <v>28</v>
      </c>
      <c r="G48" s="14">
        <v>365000</v>
      </c>
      <c r="H48" s="14">
        <v>180100</v>
      </c>
      <c r="I48" s="19">
        <f t="shared" si="4"/>
        <v>49.342465753424655</v>
      </c>
      <c r="J48" s="14">
        <v>360230</v>
      </c>
      <c r="K48" s="14">
        <f>G48-318230</f>
        <v>46770</v>
      </c>
      <c r="L48" s="14">
        <v>42000</v>
      </c>
      <c r="M48" s="29">
        <v>0</v>
      </c>
      <c r="N48" s="33">
        <v>0</v>
      </c>
      <c r="O48" s="38">
        <v>0</v>
      </c>
      <c r="P48" s="38">
        <v>0</v>
      </c>
      <c r="Q48" s="14" t="e">
        <f t="shared" si="5"/>
        <v>#DIV/0!</v>
      </c>
      <c r="R48" s="14" t="e">
        <f t="shared" si="6"/>
        <v>#DIV/0!</v>
      </c>
      <c r="S48" s="43" t="e">
        <f t="shared" si="7"/>
        <v>#DIV/0!</v>
      </c>
      <c r="T48" s="38">
        <v>0</v>
      </c>
      <c r="U48" s="5" t="s">
        <v>347</v>
      </c>
      <c r="V48" t="s">
        <v>549</v>
      </c>
      <c r="X48" t="s">
        <v>350</v>
      </c>
      <c r="Y48" s="6" t="s">
        <v>32</v>
      </c>
    </row>
    <row r="49" spans="1:25" hidden="1" x14ac:dyDescent="0.25">
      <c r="A49" t="s">
        <v>550</v>
      </c>
      <c r="B49" t="s">
        <v>551</v>
      </c>
      <c r="C49" s="24">
        <v>44628</v>
      </c>
      <c r="D49" s="14">
        <v>100000</v>
      </c>
      <c r="E49" t="s">
        <v>27</v>
      </c>
      <c r="F49" t="s">
        <v>28</v>
      </c>
      <c r="G49" s="14">
        <v>100000</v>
      </c>
      <c r="H49" s="14">
        <v>28000</v>
      </c>
      <c r="I49" s="19">
        <f t="shared" si="4"/>
        <v>28.000000000000004</v>
      </c>
      <c r="J49" s="14">
        <v>56000</v>
      </c>
      <c r="K49" s="14">
        <f>G49-0</f>
        <v>100000</v>
      </c>
      <c r="L49" s="14">
        <v>56000</v>
      </c>
      <c r="M49" s="29">
        <v>0</v>
      </c>
      <c r="N49" s="33">
        <v>0</v>
      </c>
      <c r="O49" s="38">
        <v>0</v>
      </c>
      <c r="P49" s="38">
        <v>0</v>
      </c>
      <c r="Q49" s="14" t="e">
        <f t="shared" si="5"/>
        <v>#DIV/0!</v>
      </c>
      <c r="R49" s="14" t="e">
        <f t="shared" si="6"/>
        <v>#DIV/0!</v>
      </c>
      <c r="S49" s="43" t="e">
        <f t="shared" si="7"/>
        <v>#DIV/0!</v>
      </c>
      <c r="T49" s="38">
        <v>0</v>
      </c>
      <c r="U49" s="5" t="s">
        <v>347</v>
      </c>
      <c r="V49" t="s">
        <v>552</v>
      </c>
      <c r="X49" t="s">
        <v>444</v>
      </c>
      <c r="Y49" s="6" t="s">
        <v>113</v>
      </c>
    </row>
    <row r="50" spans="1:25" hidden="1" x14ac:dyDescent="0.25">
      <c r="A50" t="s">
        <v>553</v>
      </c>
      <c r="B50" t="s">
        <v>554</v>
      </c>
      <c r="C50" s="24">
        <v>44410</v>
      </c>
      <c r="D50" s="14">
        <v>83000</v>
      </c>
      <c r="E50" t="s">
        <v>27</v>
      </c>
      <c r="F50" t="s">
        <v>28</v>
      </c>
      <c r="G50" s="14">
        <v>83000</v>
      </c>
      <c r="H50" s="14">
        <v>28000</v>
      </c>
      <c r="I50" s="19">
        <f t="shared" si="4"/>
        <v>33.734939759036145</v>
      </c>
      <c r="J50" s="14">
        <v>56000</v>
      </c>
      <c r="K50" s="14">
        <f>G50-0</f>
        <v>83000</v>
      </c>
      <c r="L50" s="14">
        <v>56000</v>
      </c>
      <c r="M50" s="29">
        <v>0</v>
      </c>
      <c r="N50" s="33">
        <v>0</v>
      </c>
      <c r="O50" s="38">
        <v>0</v>
      </c>
      <c r="P50" s="38">
        <v>0</v>
      </c>
      <c r="Q50" s="14" t="e">
        <f t="shared" si="5"/>
        <v>#DIV/0!</v>
      </c>
      <c r="R50" s="14" t="e">
        <f t="shared" si="6"/>
        <v>#DIV/0!</v>
      </c>
      <c r="S50" s="43" t="e">
        <f t="shared" si="7"/>
        <v>#DIV/0!</v>
      </c>
      <c r="T50" s="38">
        <v>0</v>
      </c>
      <c r="U50" s="5" t="s">
        <v>347</v>
      </c>
      <c r="V50" t="s">
        <v>555</v>
      </c>
      <c r="X50" t="s">
        <v>444</v>
      </c>
      <c r="Y50" s="6" t="s">
        <v>32</v>
      </c>
    </row>
    <row r="51" spans="1:25" hidden="1" x14ac:dyDescent="0.25">
      <c r="A51" t="s">
        <v>579</v>
      </c>
      <c r="B51" t="s">
        <v>580</v>
      </c>
      <c r="C51" s="24">
        <v>45072</v>
      </c>
      <c r="D51" s="14">
        <v>257500</v>
      </c>
      <c r="E51" t="s">
        <v>27</v>
      </c>
      <c r="F51" t="s">
        <v>28</v>
      </c>
      <c r="G51" s="14">
        <v>257500</v>
      </c>
      <c r="H51" s="14">
        <v>107600</v>
      </c>
      <c r="I51" s="19">
        <f t="shared" si="4"/>
        <v>41.786407766990294</v>
      </c>
      <c r="J51" s="14">
        <v>215225</v>
      </c>
      <c r="K51" s="14">
        <f>G51-150225</f>
        <v>107275</v>
      </c>
      <c r="L51" s="14">
        <v>65000</v>
      </c>
      <c r="M51" s="29">
        <v>0</v>
      </c>
      <c r="N51" s="33">
        <v>0</v>
      </c>
      <c r="O51" s="38">
        <v>0.43</v>
      </c>
      <c r="P51" s="38">
        <v>0.43</v>
      </c>
      <c r="Q51" s="14" t="e">
        <f t="shared" si="5"/>
        <v>#DIV/0!</v>
      </c>
      <c r="R51" s="14">
        <f t="shared" si="6"/>
        <v>249476.7441860465</v>
      </c>
      <c r="S51" s="43">
        <f t="shared" si="7"/>
        <v>5.7271979840690195</v>
      </c>
      <c r="T51" s="38">
        <v>0</v>
      </c>
      <c r="U51" s="5" t="s">
        <v>347</v>
      </c>
      <c r="V51" t="s">
        <v>581</v>
      </c>
      <c r="X51" t="s">
        <v>350</v>
      </c>
      <c r="Y51" s="6" t="s">
        <v>32</v>
      </c>
    </row>
    <row r="52" spans="1:25" hidden="1" x14ac:dyDescent="0.25">
      <c r="A52" t="s">
        <v>582</v>
      </c>
      <c r="B52" t="s">
        <v>583</v>
      </c>
      <c r="C52" s="24">
        <v>44795</v>
      </c>
      <c r="D52" s="14">
        <v>250000</v>
      </c>
      <c r="E52" t="s">
        <v>27</v>
      </c>
      <c r="F52" t="s">
        <v>28</v>
      </c>
      <c r="G52" s="14">
        <v>250000</v>
      </c>
      <c r="H52" s="14">
        <v>111000</v>
      </c>
      <c r="I52" s="19">
        <f t="shared" si="4"/>
        <v>44.4</v>
      </c>
      <c r="J52" s="14">
        <v>221999</v>
      </c>
      <c r="K52" s="14">
        <f>G52-156999</f>
        <v>93001</v>
      </c>
      <c r="L52" s="14">
        <v>65000</v>
      </c>
      <c r="M52" s="29">
        <v>0</v>
      </c>
      <c r="N52" s="33">
        <v>0</v>
      </c>
      <c r="O52" s="38">
        <v>0.36</v>
      </c>
      <c r="P52" s="38">
        <v>0.36</v>
      </c>
      <c r="Q52" s="14" t="e">
        <f t="shared" si="5"/>
        <v>#DIV/0!</v>
      </c>
      <c r="R52" s="14">
        <f t="shared" si="6"/>
        <v>258336.11111111112</v>
      </c>
      <c r="S52" s="43">
        <f t="shared" si="7"/>
        <v>5.9305810631568212</v>
      </c>
      <c r="T52" s="38">
        <v>0</v>
      </c>
      <c r="U52" s="5" t="s">
        <v>347</v>
      </c>
      <c r="V52" t="s">
        <v>584</v>
      </c>
      <c r="X52" t="s">
        <v>350</v>
      </c>
      <c r="Y52" s="6" t="s">
        <v>32</v>
      </c>
    </row>
    <row r="53" spans="1:25" hidden="1" x14ac:dyDescent="0.25">
      <c r="A53" t="s">
        <v>585</v>
      </c>
      <c r="B53" t="s">
        <v>586</v>
      </c>
      <c r="C53" s="24">
        <v>44673</v>
      </c>
      <c r="D53" s="14">
        <v>280000</v>
      </c>
      <c r="E53" t="s">
        <v>27</v>
      </c>
      <c r="F53" t="s">
        <v>587</v>
      </c>
      <c r="G53" s="14">
        <v>280000</v>
      </c>
      <c r="H53" s="14">
        <v>100700</v>
      </c>
      <c r="I53" s="19">
        <f t="shared" si="4"/>
        <v>35.964285714285715</v>
      </c>
      <c r="J53" s="14">
        <v>201414</v>
      </c>
      <c r="K53" s="14">
        <f>G53-136414</f>
        <v>143586</v>
      </c>
      <c r="L53" s="14">
        <v>65000</v>
      </c>
      <c r="M53" s="29">
        <v>0</v>
      </c>
      <c r="N53" s="33">
        <v>0</v>
      </c>
      <c r="O53" s="38">
        <v>0.37</v>
      </c>
      <c r="P53" s="38">
        <v>0.37</v>
      </c>
      <c r="Q53" s="14" t="e">
        <f t="shared" si="5"/>
        <v>#DIV/0!</v>
      </c>
      <c r="R53" s="14">
        <f t="shared" si="6"/>
        <v>388070.2702702703</v>
      </c>
      <c r="S53" s="43">
        <f t="shared" si="7"/>
        <v>8.9088675452311819</v>
      </c>
      <c r="T53" s="38">
        <v>0</v>
      </c>
      <c r="U53" s="5" t="s">
        <v>347</v>
      </c>
      <c r="V53" t="s">
        <v>588</v>
      </c>
      <c r="X53" t="s">
        <v>350</v>
      </c>
      <c r="Y53" s="6" t="s">
        <v>32</v>
      </c>
    </row>
    <row r="54" spans="1:25" hidden="1" x14ac:dyDescent="0.25">
      <c r="A54" t="s">
        <v>589</v>
      </c>
      <c r="B54" t="s">
        <v>590</v>
      </c>
      <c r="C54" s="24">
        <v>44922</v>
      </c>
      <c r="D54" s="14">
        <v>285000</v>
      </c>
      <c r="E54" t="s">
        <v>27</v>
      </c>
      <c r="F54" t="s">
        <v>28</v>
      </c>
      <c r="G54" s="14">
        <v>285000</v>
      </c>
      <c r="H54" s="14">
        <v>98900</v>
      </c>
      <c r="I54" s="19">
        <f t="shared" si="4"/>
        <v>34.701754385964911</v>
      </c>
      <c r="J54" s="14">
        <v>197818</v>
      </c>
      <c r="K54" s="14">
        <f>G54-132818</f>
        <v>152182</v>
      </c>
      <c r="L54" s="14">
        <v>65000</v>
      </c>
      <c r="M54" s="29">
        <v>0</v>
      </c>
      <c r="N54" s="33">
        <v>0</v>
      </c>
      <c r="O54" s="38">
        <v>0.4</v>
      </c>
      <c r="P54" s="38">
        <v>0.4</v>
      </c>
      <c r="Q54" s="14" t="e">
        <f t="shared" si="5"/>
        <v>#DIV/0!</v>
      </c>
      <c r="R54" s="14">
        <f t="shared" si="6"/>
        <v>380455</v>
      </c>
      <c r="S54" s="43">
        <f t="shared" si="7"/>
        <v>8.734044995408631</v>
      </c>
      <c r="T54" s="38">
        <v>0</v>
      </c>
      <c r="U54" s="5" t="s">
        <v>347</v>
      </c>
      <c r="V54" t="s">
        <v>591</v>
      </c>
      <c r="X54" t="s">
        <v>350</v>
      </c>
      <c r="Y54" s="6" t="s">
        <v>32</v>
      </c>
    </row>
    <row r="55" spans="1:25" hidden="1" x14ac:dyDescent="0.25">
      <c r="A55" t="s">
        <v>592</v>
      </c>
      <c r="B55" t="s">
        <v>593</v>
      </c>
      <c r="C55" s="24">
        <v>44665</v>
      </c>
      <c r="D55" s="14">
        <v>312000</v>
      </c>
      <c r="E55" t="s">
        <v>27</v>
      </c>
      <c r="F55" t="s">
        <v>28</v>
      </c>
      <c r="G55" s="14">
        <v>312000</v>
      </c>
      <c r="H55" s="14">
        <v>146000</v>
      </c>
      <c r="I55" s="19">
        <f t="shared" si="4"/>
        <v>46.794871794871796</v>
      </c>
      <c r="J55" s="14">
        <v>291917</v>
      </c>
      <c r="K55" s="14">
        <f>G55-205917</f>
        <v>106083</v>
      </c>
      <c r="L55" s="14">
        <v>86000</v>
      </c>
      <c r="M55" s="29">
        <v>0</v>
      </c>
      <c r="N55" s="33">
        <v>0</v>
      </c>
      <c r="O55" s="38">
        <v>0.83</v>
      </c>
      <c r="P55" s="38">
        <v>0.83</v>
      </c>
      <c r="Q55" s="14" t="e">
        <f t="shared" si="5"/>
        <v>#DIV/0!</v>
      </c>
      <c r="R55" s="14">
        <f t="shared" si="6"/>
        <v>127810.84337349398</v>
      </c>
      <c r="S55" s="43">
        <f t="shared" si="7"/>
        <v>2.9341332271233695</v>
      </c>
      <c r="T55" s="38">
        <v>0</v>
      </c>
      <c r="U55" s="5" t="s">
        <v>347</v>
      </c>
      <c r="V55" t="s">
        <v>594</v>
      </c>
      <c r="X55" t="s">
        <v>444</v>
      </c>
      <c r="Y55" s="6" t="s">
        <v>32</v>
      </c>
    </row>
    <row r="56" spans="1:25" hidden="1" x14ac:dyDescent="0.25">
      <c r="A56" t="s">
        <v>595</v>
      </c>
      <c r="B56" t="s">
        <v>596</v>
      </c>
      <c r="C56" s="24">
        <v>44383</v>
      </c>
      <c r="D56" s="14">
        <v>170000</v>
      </c>
      <c r="E56" t="s">
        <v>27</v>
      </c>
      <c r="F56" t="s">
        <v>28</v>
      </c>
      <c r="G56" s="14">
        <v>170000</v>
      </c>
      <c r="H56" s="14">
        <v>91400</v>
      </c>
      <c r="I56" s="19">
        <f t="shared" si="4"/>
        <v>53.764705882352935</v>
      </c>
      <c r="J56" s="14">
        <v>182782</v>
      </c>
      <c r="K56" s="14">
        <f>G56-117782</f>
        <v>52218</v>
      </c>
      <c r="L56" s="14">
        <v>65000</v>
      </c>
      <c r="M56" s="29">
        <v>0</v>
      </c>
      <c r="N56" s="33">
        <v>0</v>
      </c>
      <c r="O56" s="38">
        <v>0.83</v>
      </c>
      <c r="P56" s="38">
        <v>0.83</v>
      </c>
      <c r="Q56" s="14" t="e">
        <f t="shared" si="5"/>
        <v>#DIV/0!</v>
      </c>
      <c r="R56" s="14">
        <f t="shared" si="6"/>
        <v>62913.253012048197</v>
      </c>
      <c r="S56" s="43">
        <f t="shared" si="7"/>
        <v>1.4442895549138703</v>
      </c>
      <c r="T56" s="38">
        <v>0</v>
      </c>
      <c r="U56" s="5" t="s">
        <v>347</v>
      </c>
      <c r="V56" t="s">
        <v>597</v>
      </c>
      <c r="X56" t="s">
        <v>350</v>
      </c>
      <c r="Y56" s="6" t="s">
        <v>32</v>
      </c>
    </row>
    <row r="57" spans="1:25" hidden="1" x14ac:dyDescent="0.25">
      <c r="A57" t="s">
        <v>598</v>
      </c>
      <c r="B57" t="s">
        <v>599</v>
      </c>
      <c r="C57" s="24">
        <v>44463</v>
      </c>
      <c r="D57" s="14">
        <v>196000</v>
      </c>
      <c r="E57" t="s">
        <v>27</v>
      </c>
      <c r="F57" t="s">
        <v>28</v>
      </c>
      <c r="G57" s="14">
        <v>196000</v>
      </c>
      <c r="H57" s="14">
        <v>97400</v>
      </c>
      <c r="I57" s="19">
        <f t="shared" si="4"/>
        <v>49.693877551020407</v>
      </c>
      <c r="J57" s="14">
        <v>194846</v>
      </c>
      <c r="K57" s="14">
        <f>G57-129846</f>
        <v>66154</v>
      </c>
      <c r="L57" s="14">
        <v>65000</v>
      </c>
      <c r="M57" s="29">
        <v>0</v>
      </c>
      <c r="N57" s="33">
        <v>0</v>
      </c>
      <c r="O57" s="38">
        <v>0.35</v>
      </c>
      <c r="P57" s="38">
        <v>0.35</v>
      </c>
      <c r="Q57" s="14" t="e">
        <f t="shared" si="5"/>
        <v>#DIV/0!</v>
      </c>
      <c r="R57" s="14">
        <f t="shared" si="6"/>
        <v>189011.42857142858</v>
      </c>
      <c r="S57" s="43">
        <f t="shared" si="7"/>
        <v>4.3391053391053394</v>
      </c>
      <c r="T57" s="38">
        <v>0</v>
      </c>
      <c r="U57" s="5" t="s">
        <v>347</v>
      </c>
      <c r="V57" t="s">
        <v>600</v>
      </c>
      <c r="X57" t="s">
        <v>350</v>
      </c>
      <c r="Y57" s="6" t="s">
        <v>32</v>
      </c>
    </row>
    <row r="58" spans="1:25" hidden="1" x14ac:dyDescent="0.25">
      <c r="A58" t="s">
        <v>601</v>
      </c>
      <c r="B58" t="s">
        <v>602</v>
      </c>
      <c r="C58" s="24">
        <v>44313</v>
      </c>
      <c r="D58" s="14">
        <v>189000</v>
      </c>
      <c r="E58" t="s">
        <v>27</v>
      </c>
      <c r="F58" t="s">
        <v>28</v>
      </c>
      <c r="G58" s="14">
        <v>189000</v>
      </c>
      <c r="H58" s="14">
        <v>94000</v>
      </c>
      <c r="I58" s="19">
        <f t="shared" si="4"/>
        <v>49.735449735449734</v>
      </c>
      <c r="J58" s="14">
        <v>187948</v>
      </c>
      <c r="K58" s="14">
        <f>G58-122948</f>
        <v>66052</v>
      </c>
      <c r="L58" s="14">
        <v>65000</v>
      </c>
      <c r="M58" s="29">
        <v>0</v>
      </c>
      <c r="N58" s="33">
        <v>0</v>
      </c>
      <c r="O58" s="38">
        <v>0.35</v>
      </c>
      <c r="P58" s="38">
        <v>0.35</v>
      </c>
      <c r="Q58" s="14" t="e">
        <f t="shared" si="5"/>
        <v>#DIV/0!</v>
      </c>
      <c r="R58" s="14">
        <f t="shared" si="6"/>
        <v>188720</v>
      </c>
      <c r="S58" s="43">
        <f t="shared" si="7"/>
        <v>4.3324150596877873</v>
      </c>
      <c r="T58" s="38">
        <v>0</v>
      </c>
      <c r="U58" s="5" t="s">
        <v>347</v>
      </c>
      <c r="V58" t="s">
        <v>603</v>
      </c>
      <c r="X58" t="s">
        <v>350</v>
      </c>
      <c r="Y58" s="6" t="s">
        <v>32</v>
      </c>
    </row>
    <row r="59" spans="1:25" hidden="1" x14ac:dyDescent="0.25">
      <c r="A59" t="s">
        <v>604</v>
      </c>
      <c r="B59" t="s">
        <v>605</v>
      </c>
      <c r="C59" s="24">
        <v>44326</v>
      </c>
      <c r="D59" s="14">
        <v>201000</v>
      </c>
      <c r="E59" t="s">
        <v>27</v>
      </c>
      <c r="F59" t="s">
        <v>28</v>
      </c>
      <c r="G59" s="14">
        <v>201000</v>
      </c>
      <c r="H59" s="14">
        <v>97300</v>
      </c>
      <c r="I59" s="19">
        <f t="shared" si="4"/>
        <v>48.407960199004975</v>
      </c>
      <c r="J59" s="14">
        <v>194545</v>
      </c>
      <c r="K59" s="14">
        <f>G59-129545</f>
        <v>71455</v>
      </c>
      <c r="L59" s="14">
        <v>65000</v>
      </c>
      <c r="M59" s="29">
        <v>0</v>
      </c>
      <c r="N59" s="33">
        <v>0</v>
      </c>
      <c r="O59" s="38">
        <v>0.3</v>
      </c>
      <c r="P59" s="38">
        <v>0.3</v>
      </c>
      <c r="Q59" s="14" t="e">
        <f t="shared" si="5"/>
        <v>#DIV/0!</v>
      </c>
      <c r="R59" s="14">
        <f t="shared" si="6"/>
        <v>238183.33333333334</v>
      </c>
      <c r="S59" s="43">
        <f t="shared" si="7"/>
        <v>5.4679369452096731</v>
      </c>
      <c r="T59" s="38">
        <v>0</v>
      </c>
      <c r="U59" s="5" t="s">
        <v>347</v>
      </c>
      <c r="V59" t="s">
        <v>606</v>
      </c>
      <c r="X59" t="s">
        <v>350</v>
      </c>
      <c r="Y59" s="6" t="s">
        <v>32</v>
      </c>
    </row>
    <row r="60" spans="1:25" hidden="1" x14ac:dyDescent="0.25">
      <c r="A60" t="s">
        <v>607</v>
      </c>
      <c r="B60" t="s">
        <v>608</v>
      </c>
      <c r="C60" s="24">
        <v>44460</v>
      </c>
      <c r="D60" s="14">
        <v>210000</v>
      </c>
      <c r="E60" t="s">
        <v>27</v>
      </c>
      <c r="F60" t="s">
        <v>28</v>
      </c>
      <c r="G60" s="14">
        <v>210000</v>
      </c>
      <c r="H60" s="14">
        <v>98200</v>
      </c>
      <c r="I60" s="19">
        <f t="shared" si="4"/>
        <v>46.761904761904759</v>
      </c>
      <c r="J60" s="14">
        <v>196433</v>
      </c>
      <c r="K60" s="14">
        <f>G60-131433</f>
        <v>78567</v>
      </c>
      <c r="L60" s="14">
        <v>65000</v>
      </c>
      <c r="M60" s="29">
        <v>0</v>
      </c>
      <c r="N60" s="33">
        <v>0</v>
      </c>
      <c r="O60" s="38">
        <v>0.36</v>
      </c>
      <c r="P60" s="38">
        <v>0.36</v>
      </c>
      <c r="Q60" s="14" t="e">
        <f t="shared" si="5"/>
        <v>#DIV/0!</v>
      </c>
      <c r="R60" s="14">
        <f t="shared" si="6"/>
        <v>218241.66666666669</v>
      </c>
      <c r="S60" s="43">
        <f t="shared" si="7"/>
        <v>5.0101392715029087</v>
      </c>
      <c r="T60" s="38">
        <v>0</v>
      </c>
      <c r="U60" s="5" t="s">
        <v>347</v>
      </c>
      <c r="V60" t="s">
        <v>609</v>
      </c>
      <c r="X60" t="s">
        <v>350</v>
      </c>
      <c r="Y60" s="6" t="s">
        <v>32</v>
      </c>
    </row>
    <row r="61" spans="1:25" hidden="1" x14ac:dyDescent="0.25">
      <c r="A61" t="s">
        <v>722</v>
      </c>
      <c r="B61" t="s">
        <v>723</v>
      </c>
      <c r="C61" s="24">
        <v>44875</v>
      </c>
      <c r="D61" s="14">
        <v>279900</v>
      </c>
      <c r="E61" t="s">
        <v>27</v>
      </c>
      <c r="F61" t="s">
        <v>28</v>
      </c>
      <c r="G61" s="14">
        <v>279900</v>
      </c>
      <c r="H61" s="14">
        <v>112100</v>
      </c>
      <c r="I61" s="19">
        <f t="shared" si="4"/>
        <v>40.050017863522683</v>
      </c>
      <c r="J61" s="14">
        <v>224221</v>
      </c>
      <c r="K61" s="14">
        <f>G61-163221</f>
        <v>116679</v>
      </c>
      <c r="L61" s="14">
        <v>61000</v>
      </c>
      <c r="M61" s="29">
        <v>0</v>
      </c>
      <c r="N61" s="33">
        <v>0</v>
      </c>
      <c r="O61" s="38">
        <v>0.46</v>
      </c>
      <c r="P61" s="38">
        <v>0.46</v>
      </c>
      <c r="Q61" s="14" t="e">
        <f t="shared" si="5"/>
        <v>#DIV/0!</v>
      </c>
      <c r="R61" s="14">
        <f t="shared" si="6"/>
        <v>253650</v>
      </c>
      <c r="S61" s="43">
        <f t="shared" si="7"/>
        <v>5.8230027548209362</v>
      </c>
      <c r="T61" s="38">
        <v>0</v>
      </c>
      <c r="U61" s="5" t="s">
        <v>347</v>
      </c>
      <c r="V61" t="s">
        <v>725</v>
      </c>
      <c r="X61" t="s">
        <v>350</v>
      </c>
      <c r="Y61" s="6" t="s">
        <v>32</v>
      </c>
    </row>
    <row r="62" spans="1:25" hidden="1" x14ac:dyDescent="0.25">
      <c r="A62" t="s">
        <v>722</v>
      </c>
      <c r="B62" t="s">
        <v>723</v>
      </c>
      <c r="C62" s="24">
        <v>44606</v>
      </c>
      <c r="D62" s="14">
        <v>259900</v>
      </c>
      <c r="E62" t="s">
        <v>27</v>
      </c>
      <c r="F62" t="s">
        <v>28</v>
      </c>
      <c r="G62" s="14">
        <v>259900</v>
      </c>
      <c r="H62" s="14">
        <v>112100</v>
      </c>
      <c r="I62" s="19">
        <f t="shared" si="4"/>
        <v>43.1319738360908</v>
      </c>
      <c r="J62" s="14">
        <v>224221</v>
      </c>
      <c r="K62" s="14">
        <f>G62-163221</f>
        <v>96679</v>
      </c>
      <c r="L62" s="14">
        <v>61000</v>
      </c>
      <c r="M62" s="29">
        <v>0</v>
      </c>
      <c r="N62" s="33">
        <v>0</v>
      </c>
      <c r="O62" s="38">
        <v>0.46</v>
      </c>
      <c r="P62" s="38">
        <v>0.46</v>
      </c>
      <c r="Q62" s="14" t="e">
        <f t="shared" si="5"/>
        <v>#DIV/0!</v>
      </c>
      <c r="R62" s="14">
        <f t="shared" si="6"/>
        <v>210171.73913043478</v>
      </c>
      <c r="S62" s="43">
        <f t="shared" si="7"/>
        <v>4.82487922705314</v>
      </c>
      <c r="T62" s="38">
        <v>0</v>
      </c>
      <c r="U62" s="5" t="s">
        <v>347</v>
      </c>
      <c r="V62" t="s">
        <v>724</v>
      </c>
      <c r="X62" t="s">
        <v>350</v>
      </c>
      <c r="Y62" s="6" t="s">
        <v>32</v>
      </c>
    </row>
    <row r="63" spans="1:25" hidden="1" x14ac:dyDescent="0.25">
      <c r="A63" t="s">
        <v>726</v>
      </c>
      <c r="B63" t="s">
        <v>727</v>
      </c>
      <c r="C63" s="24">
        <v>45114</v>
      </c>
      <c r="D63" s="14">
        <v>240000</v>
      </c>
      <c r="E63" t="s">
        <v>27</v>
      </c>
      <c r="F63" t="s">
        <v>28</v>
      </c>
      <c r="G63" s="14">
        <v>240000</v>
      </c>
      <c r="H63" s="14">
        <v>107000</v>
      </c>
      <c r="I63" s="19">
        <f t="shared" si="4"/>
        <v>44.583333333333336</v>
      </c>
      <c r="J63" s="14">
        <v>214056</v>
      </c>
      <c r="K63" s="14">
        <f>G63-153056</f>
        <v>86944</v>
      </c>
      <c r="L63" s="14">
        <v>61000</v>
      </c>
      <c r="M63" s="29">
        <v>0</v>
      </c>
      <c r="N63" s="33">
        <v>0</v>
      </c>
      <c r="O63" s="38">
        <v>0.47</v>
      </c>
      <c r="P63" s="38">
        <v>0.47</v>
      </c>
      <c r="Q63" s="14" t="e">
        <f t="shared" si="5"/>
        <v>#DIV/0!</v>
      </c>
      <c r="R63" s="14">
        <f t="shared" si="6"/>
        <v>184987.2340425532</v>
      </c>
      <c r="S63" s="43">
        <f t="shared" si="7"/>
        <v>4.2467225445948849</v>
      </c>
      <c r="T63" s="38">
        <v>0</v>
      </c>
      <c r="U63" s="5" t="s">
        <v>347</v>
      </c>
      <c r="V63" t="s">
        <v>728</v>
      </c>
      <c r="X63" t="s">
        <v>350</v>
      </c>
      <c r="Y63" s="6" t="s">
        <v>32</v>
      </c>
    </row>
    <row r="64" spans="1:25" hidden="1" x14ac:dyDescent="0.25">
      <c r="A64" t="s">
        <v>729</v>
      </c>
      <c r="B64" t="s">
        <v>730</v>
      </c>
      <c r="C64" s="24">
        <v>44804</v>
      </c>
      <c r="D64" s="14">
        <v>269000</v>
      </c>
      <c r="E64" t="s">
        <v>620</v>
      </c>
      <c r="F64" t="s">
        <v>28</v>
      </c>
      <c r="G64" s="14">
        <v>269000</v>
      </c>
      <c r="H64" s="14">
        <v>121900</v>
      </c>
      <c r="I64" s="19">
        <f t="shared" si="4"/>
        <v>45.315985130111528</v>
      </c>
      <c r="J64" s="14">
        <v>243875</v>
      </c>
      <c r="K64" s="14">
        <f>G64-182875</f>
        <v>86125</v>
      </c>
      <c r="L64" s="14">
        <v>61000</v>
      </c>
      <c r="M64" s="29">
        <v>0</v>
      </c>
      <c r="N64" s="33">
        <v>0</v>
      </c>
      <c r="O64" s="38">
        <v>0.49</v>
      </c>
      <c r="P64" s="38">
        <v>0.49</v>
      </c>
      <c r="Q64" s="14" t="e">
        <f t="shared" si="5"/>
        <v>#DIV/0!</v>
      </c>
      <c r="R64" s="14">
        <f t="shared" si="6"/>
        <v>175765.30612244899</v>
      </c>
      <c r="S64" s="43">
        <f t="shared" si="7"/>
        <v>4.0350162103408858</v>
      </c>
      <c r="T64" s="38">
        <v>0</v>
      </c>
      <c r="U64" s="5" t="s">
        <v>347</v>
      </c>
      <c r="V64" t="s">
        <v>731</v>
      </c>
      <c r="X64" t="s">
        <v>350</v>
      </c>
      <c r="Y64" s="6" t="s">
        <v>32</v>
      </c>
    </row>
    <row r="65" spans="1:25" hidden="1" x14ac:dyDescent="0.25">
      <c r="A65" t="s">
        <v>732</v>
      </c>
      <c r="B65" t="s">
        <v>733</v>
      </c>
      <c r="C65" s="24">
        <v>45090</v>
      </c>
      <c r="D65" s="14">
        <v>392000</v>
      </c>
      <c r="E65" t="s">
        <v>27</v>
      </c>
      <c r="F65" t="s">
        <v>28</v>
      </c>
      <c r="G65" s="14">
        <v>392000</v>
      </c>
      <c r="H65" s="14">
        <v>157200</v>
      </c>
      <c r="I65" s="19">
        <f t="shared" si="4"/>
        <v>40.102040816326529</v>
      </c>
      <c r="J65" s="14">
        <v>314336</v>
      </c>
      <c r="K65" s="14">
        <f>G65-253336</f>
        <v>138664</v>
      </c>
      <c r="L65" s="14">
        <v>61000</v>
      </c>
      <c r="M65" s="29">
        <v>0</v>
      </c>
      <c r="N65" s="33">
        <v>0</v>
      </c>
      <c r="O65" s="38">
        <v>0.44</v>
      </c>
      <c r="P65" s="38">
        <v>0.44</v>
      </c>
      <c r="Q65" s="14" t="e">
        <f t="shared" si="5"/>
        <v>#DIV/0!</v>
      </c>
      <c r="R65" s="14">
        <f t="shared" si="6"/>
        <v>315145.45454545453</v>
      </c>
      <c r="S65" s="43">
        <f t="shared" si="7"/>
        <v>7.2347441355705815</v>
      </c>
      <c r="T65" s="38">
        <v>0</v>
      </c>
      <c r="U65" s="5" t="s">
        <v>347</v>
      </c>
      <c r="V65" t="s">
        <v>734</v>
      </c>
      <c r="X65" t="s">
        <v>350</v>
      </c>
      <c r="Y65" s="6" t="s">
        <v>32</v>
      </c>
    </row>
    <row r="66" spans="1:25" hidden="1" x14ac:dyDescent="0.25">
      <c r="A66" t="s">
        <v>735</v>
      </c>
      <c r="B66" t="s">
        <v>736</v>
      </c>
      <c r="C66" s="24">
        <v>44487</v>
      </c>
      <c r="D66" s="14">
        <v>248900</v>
      </c>
      <c r="E66" t="s">
        <v>27</v>
      </c>
      <c r="F66" t="s">
        <v>28</v>
      </c>
      <c r="G66" s="14">
        <v>248900</v>
      </c>
      <c r="H66" s="14">
        <v>130800</v>
      </c>
      <c r="I66" s="19">
        <f t="shared" si="4"/>
        <v>52.551225391723591</v>
      </c>
      <c r="J66" s="14">
        <v>261574</v>
      </c>
      <c r="K66" s="14">
        <f>G66-200574</f>
        <v>48326</v>
      </c>
      <c r="L66" s="14">
        <v>61000</v>
      </c>
      <c r="M66" s="29">
        <v>0</v>
      </c>
      <c r="N66" s="33">
        <v>0</v>
      </c>
      <c r="O66" s="38">
        <v>0.35</v>
      </c>
      <c r="P66" s="38">
        <v>0.35</v>
      </c>
      <c r="Q66" s="14" t="e">
        <f t="shared" si="5"/>
        <v>#DIV/0!</v>
      </c>
      <c r="R66" s="14">
        <f t="shared" si="6"/>
        <v>138074.28571428571</v>
      </c>
      <c r="S66" s="43">
        <f t="shared" si="7"/>
        <v>3.1697494424767152</v>
      </c>
      <c r="T66" s="38">
        <v>0</v>
      </c>
      <c r="U66" s="5" t="s">
        <v>347</v>
      </c>
      <c r="V66" t="s">
        <v>737</v>
      </c>
      <c r="X66" t="s">
        <v>350</v>
      </c>
      <c r="Y66" s="6" t="s">
        <v>32</v>
      </c>
    </row>
    <row r="67" spans="1:25" hidden="1" x14ac:dyDescent="0.25">
      <c r="A67" t="s">
        <v>738</v>
      </c>
      <c r="B67" t="s">
        <v>739</v>
      </c>
      <c r="C67" s="24">
        <v>44477</v>
      </c>
      <c r="D67" s="14">
        <v>215000</v>
      </c>
      <c r="E67" t="s">
        <v>27</v>
      </c>
      <c r="F67" t="s">
        <v>28</v>
      </c>
      <c r="G67" s="14">
        <v>215000</v>
      </c>
      <c r="H67" s="14">
        <v>121800</v>
      </c>
      <c r="I67" s="19">
        <f t="shared" si="4"/>
        <v>56.651162790697676</v>
      </c>
      <c r="J67" s="14">
        <v>243664</v>
      </c>
      <c r="K67" s="14">
        <f>G67-182664</f>
        <v>32336</v>
      </c>
      <c r="L67" s="14">
        <v>61000</v>
      </c>
      <c r="M67" s="29">
        <v>0</v>
      </c>
      <c r="N67" s="33">
        <v>0</v>
      </c>
      <c r="O67" s="38">
        <v>0.37</v>
      </c>
      <c r="P67" s="38">
        <v>0.37</v>
      </c>
      <c r="Q67" s="14" t="e">
        <f t="shared" si="5"/>
        <v>#DIV/0!</v>
      </c>
      <c r="R67" s="14">
        <f t="shared" si="6"/>
        <v>87394.5945945946</v>
      </c>
      <c r="S67" s="43">
        <f t="shared" si="7"/>
        <v>2.0063038244856428</v>
      </c>
      <c r="T67" s="38">
        <v>0</v>
      </c>
      <c r="U67" s="5" t="s">
        <v>347</v>
      </c>
      <c r="V67" t="s">
        <v>740</v>
      </c>
      <c r="X67" t="s">
        <v>350</v>
      </c>
      <c r="Y67" s="6" t="s">
        <v>32</v>
      </c>
    </row>
    <row r="68" spans="1:25" hidden="1" x14ac:dyDescent="0.25">
      <c r="A68" t="s">
        <v>741</v>
      </c>
      <c r="B68" t="s">
        <v>742</v>
      </c>
      <c r="C68" s="24">
        <v>44601</v>
      </c>
      <c r="D68" s="14">
        <v>291250</v>
      </c>
      <c r="E68" t="s">
        <v>27</v>
      </c>
      <c r="F68" t="s">
        <v>28</v>
      </c>
      <c r="G68" s="14">
        <v>291250</v>
      </c>
      <c r="H68" s="14">
        <v>151400</v>
      </c>
      <c r="I68" s="19">
        <f t="shared" ref="I68:I76" si="8">H68/G68*100</f>
        <v>51.982832618025753</v>
      </c>
      <c r="J68" s="14">
        <v>302776</v>
      </c>
      <c r="K68" s="14">
        <f>G68-241776</f>
        <v>49474</v>
      </c>
      <c r="L68" s="14">
        <v>61000</v>
      </c>
      <c r="M68" s="29">
        <v>0</v>
      </c>
      <c r="N68" s="33">
        <v>0</v>
      </c>
      <c r="O68" s="38">
        <v>0.35</v>
      </c>
      <c r="P68" s="38">
        <v>0.35</v>
      </c>
      <c r="Q68" s="14" t="e">
        <f t="shared" ref="Q68:Q76" si="9">K68/M68</f>
        <v>#DIV/0!</v>
      </c>
      <c r="R68" s="14">
        <f t="shared" ref="R68:R76" si="10">K68/O68</f>
        <v>141354.28571428571</v>
      </c>
      <c r="S68" s="43">
        <f t="shared" ref="S68:S76" si="11">K68/O68/43560</f>
        <v>3.2450478814115176</v>
      </c>
      <c r="T68" s="38">
        <v>0</v>
      </c>
      <c r="U68" s="5" t="s">
        <v>347</v>
      </c>
      <c r="V68" t="s">
        <v>743</v>
      </c>
      <c r="X68" t="s">
        <v>350</v>
      </c>
      <c r="Y68" s="6" t="s">
        <v>32</v>
      </c>
    </row>
    <row r="69" spans="1:25" hidden="1" x14ac:dyDescent="0.25">
      <c r="A69" t="s">
        <v>744</v>
      </c>
      <c r="B69" t="s">
        <v>745</v>
      </c>
      <c r="C69" s="24">
        <v>45072</v>
      </c>
      <c r="D69" s="14">
        <v>376000</v>
      </c>
      <c r="E69" t="s">
        <v>27</v>
      </c>
      <c r="F69" t="s">
        <v>28</v>
      </c>
      <c r="G69" s="14">
        <v>376000</v>
      </c>
      <c r="H69" s="14">
        <v>196800</v>
      </c>
      <c r="I69" s="19">
        <f t="shared" si="8"/>
        <v>52.340425531914889</v>
      </c>
      <c r="J69" s="14">
        <v>393614</v>
      </c>
      <c r="K69" s="14">
        <f>G69-332614</f>
        <v>43386</v>
      </c>
      <c r="L69" s="14">
        <v>61000</v>
      </c>
      <c r="M69" s="29">
        <v>0</v>
      </c>
      <c r="N69" s="33">
        <v>0</v>
      </c>
      <c r="O69" s="38">
        <v>0.4</v>
      </c>
      <c r="P69" s="38">
        <v>0.4</v>
      </c>
      <c r="Q69" s="14" t="e">
        <f t="shared" si="9"/>
        <v>#DIV/0!</v>
      </c>
      <c r="R69" s="14">
        <f t="shared" si="10"/>
        <v>108465</v>
      </c>
      <c r="S69" s="43">
        <f t="shared" si="11"/>
        <v>2.4900137741046833</v>
      </c>
      <c r="T69" s="38">
        <v>0</v>
      </c>
      <c r="U69" s="5" t="s">
        <v>347</v>
      </c>
      <c r="V69" t="s">
        <v>746</v>
      </c>
      <c r="X69" t="s">
        <v>350</v>
      </c>
      <c r="Y69" s="6" t="s">
        <v>32</v>
      </c>
    </row>
    <row r="70" spans="1:25" hidden="1" x14ac:dyDescent="0.25">
      <c r="A70" t="s">
        <v>747</v>
      </c>
      <c r="B70" t="s">
        <v>748</v>
      </c>
      <c r="C70" s="24">
        <v>44907</v>
      </c>
      <c r="D70" s="14">
        <v>355000</v>
      </c>
      <c r="E70" t="s">
        <v>27</v>
      </c>
      <c r="F70" t="s">
        <v>28</v>
      </c>
      <c r="G70" s="14">
        <v>355000</v>
      </c>
      <c r="H70" s="14">
        <v>187700</v>
      </c>
      <c r="I70" s="19">
        <f t="shared" si="8"/>
        <v>52.873239436619727</v>
      </c>
      <c r="J70" s="14">
        <v>375433</v>
      </c>
      <c r="K70" s="14">
        <f>G70-314433</f>
        <v>40567</v>
      </c>
      <c r="L70" s="14">
        <v>61000</v>
      </c>
      <c r="M70" s="29">
        <v>0</v>
      </c>
      <c r="N70" s="33">
        <v>0</v>
      </c>
      <c r="O70" s="38">
        <v>0.55000000000000004</v>
      </c>
      <c r="P70" s="38">
        <v>0.55000000000000004</v>
      </c>
      <c r="Q70" s="14" t="e">
        <f t="shared" si="9"/>
        <v>#DIV/0!</v>
      </c>
      <c r="R70" s="14">
        <f t="shared" si="10"/>
        <v>73758.181818181809</v>
      </c>
      <c r="S70" s="43">
        <f t="shared" si="11"/>
        <v>1.6932548626763502</v>
      </c>
      <c r="T70" s="38">
        <v>0</v>
      </c>
      <c r="U70" s="5" t="s">
        <v>347</v>
      </c>
      <c r="V70" t="s">
        <v>749</v>
      </c>
      <c r="X70" t="s">
        <v>350</v>
      </c>
      <c r="Y70" s="6" t="s">
        <v>32</v>
      </c>
    </row>
    <row r="71" spans="1:25" hidden="1" x14ac:dyDescent="0.25">
      <c r="A71" t="s">
        <v>750</v>
      </c>
      <c r="B71" t="s">
        <v>751</v>
      </c>
      <c r="C71" s="24">
        <v>44981</v>
      </c>
      <c r="D71" s="14">
        <v>390000</v>
      </c>
      <c r="E71" t="s">
        <v>27</v>
      </c>
      <c r="F71" t="s">
        <v>28</v>
      </c>
      <c r="G71" s="14">
        <v>390000</v>
      </c>
      <c r="H71" s="14">
        <v>195700</v>
      </c>
      <c r="I71" s="19">
        <f t="shared" si="8"/>
        <v>50.179487179487182</v>
      </c>
      <c r="J71" s="14">
        <v>391494</v>
      </c>
      <c r="K71" s="14">
        <f>G71-330494</f>
        <v>59506</v>
      </c>
      <c r="L71" s="14">
        <v>61000</v>
      </c>
      <c r="M71" s="29">
        <v>0</v>
      </c>
      <c r="N71" s="33">
        <v>0</v>
      </c>
      <c r="O71" s="38">
        <v>0.84</v>
      </c>
      <c r="P71" s="38">
        <v>0.84</v>
      </c>
      <c r="Q71" s="14" t="e">
        <f t="shared" si="9"/>
        <v>#DIV/0!</v>
      </c>
      <c r="R71" s="14">
        <f t="shared" si="10"/>
        <v>70840.476190476198</v>
      </c>
      <c r="S71" s="43">
        <f t="shared" si="11"/>
        <v>1.62627355809174</v>
      </c>
      <c r="T71" s="38">
        <v>0</v>
      </c>
      <c r="U71" s="5" t="s">
        <v>347</v>
      </c>
      <c r="V71" t="s">
        <v>752</v>
      </c>
      <c r="X71" t="s">
        <v>350</v>
      </c>
      <c r="Y71" s="6" t="s">
        <v>32</v>
      </c>
    </row>
    <row r="72" spans="1:25" hidden="1" x14ac:dyDescent="0.25">
      <c r="A72" t="s">
        <v>750</v>
      </c>
      <c r="B72" t="s">
        <v>751</v>
      </c>
      <c r="C72" s="24">
        <v>45086</v>
      </c>
      <c r="D72" s="14">
        <v>390000</v>
      </c>
      <c r="E72" t="s">
        <v>27</v>
      </c>
      <c r="F72" t="s">
        <v>28</v>
      </c>
      <c r="G72" s="14">
        <v>390000</v>
      </c>
      <c r="H72" s="14">
        <v>195700</v>
      </c>
      <c r="I72" s="19">
        <f t="shared" si="8"/>
        <v>50.179487179487182</v>
      </c>
      <c r="J72" s="14">
        <v>391494</v>
      </c>
      <c r="K72" s="14">
        <f>G72-330494</f>
        <v>59506</v>
      </c>
      <c r="L72" s="14">
        <v>61000</v>
      </c>
      <c r="M72" s="29">
        <v>0</v>
      </c>
      <c r="N72" s="33">
        <v>0</v>
      </c>
      <c r="O72" s="38">
        <v>0.84</v>
      </c>
      <c r="P72" s="38">
        <v>0.84</v>
      </c>
      <c r="Q72" s="14" t="e">
        <f t="shared" si="9"/>
        <v>#DIV/0!</v>
      </c>
      <c r="R72" s="14">
        <f t="shared" si="10"/>
        <v>70840.476190476198</v>
      </c>
      <c r="S72" s="43">
        <f t="shared" si="11"/>
        <v>1.62627355809174</v>
      </c>
      <c r="T72" s="38">
        <v>0</v>
      </c>
      <c r="U72" s="5" t="s">
        <v>347</v>
      </c>
      <c r="V72" t="s">
        <v>753</v>
      </c>
      <c r="X72" t="s">
        <v>350</v>
      </c>
      <c r="Y72" s="6" t="s">
        <v>32</v>
      </c>
    </row>
    <row r="73" spans="1:25" hidden="1" x14ac:dyDescent="0.25">
      <c r="A73" t="s">
        <v>754</v>
      </c>
      <c r="B73" t="s">
        <v>755</v>
      </c>
      <c r="C73" s="24">
        <v>44631</v>
      </c>
      <c r="D73" s="14">
        <v>351500</v>
      </c>
      <c r="E73" t="s">
        <v>27</v>
      </c>
      <c r="F73" t="s">
        <v>28</v>
      </c>
      <c r="G73" s="14">
        <v>351500</v>
      </c>
      <c r="H73" s="14">
        <v>156700</v>
      </c>
      <c r="I73" s="19">
        <f t="shared" si="8"/>
        <v>44.580369843527741</v>
      </c>
      <c r="J73" s="14">
        <v>313428</v>
      </c>
      <c r="K73" s="14">
        <f>G73-252428</f>
        <v>99072</v>
      </c>
      <c r="L73" s="14">
        <v>61000</v>
      </c>
      <c r="M73" s="29">
        <v>0</v>
      </c>
      <c r="N73" s="33">
        <v>0</v>
      </c>
      <c r="O73" s="38">
        <v>1.2</v>
      </c>
      <c r="P73" s="38">
        <v>1.2</v>
      </c>
      <c r="Q73" s="14" t="e">
        <f t="shared" si="9"/>
        <v>#DIV/0!</v>
      </c>
      <c r="R73" s="14">
        <f t="shared" si="10"/>
        <v>82560</v>
      </c>
      <c r="S73" s="43">
        <f t="shared" si="11"/>
        <v>1.8953168044077136</v>
      </c>
      <c r="T73" s="38">
        <v>0</v>
      </c>
      <c r="U73" s="5" t="s">
        <v>347</v>
      </c>
      <c r="V73" t="s">
        <v>756</v>
      </c>
      <c r="X73" t="s">
        <v>350</v>
      </c>
      <c r="Y73" s="6" t="s">
        <v>32</v>
      </c>
    </row>
    <row r="74" spans="1:25" hidden="1" x14ac:dyDescent="0.25">
      <c r="A74" t="s">
        <v>757</v>
      </c>
      <c r="B74" t="s">
        <v>758</v>
      </c>
      <c r="C74" s="24">
        <v>44365</v>
      </c>
      <c r="D74" s="14">
        <v>350000</v>
      </c>
      <c r="E74" t="s">
        <v>27</v>
      </c>
      <c r="F74" t="s">
        <v>28</v>
      </c>
      <c r="G74" s="14">
        <v>350000</v>
      </c>
      <c r="H74" s="14">
        <v>201700</v>
      </c>
      <c r="I74" s="19">
        <f t="shared" si="8"/>
        <v>57.628571428571426</v>
      </c>
      <c r="J74" s="14">
        <v>403377</v>
      </c>
      <c r="K74" s="14">
        <f>G74-342377</f>
        <v>7623</v>
      </c>
      <c r="L74" s="14">
        <v>61000</v>
      </c>
      <c r="M74" s="29">
        <v>0</v>
      </c>
      <c r="N74" s="33">
        <v>0</v>
      </c>
      <c r="O74" s="38">
        <v>0.63</v>
      </c>
      <c r="P74" s="38">
        <v>0.63</v>
      </c>
      <c r="Q74" s="14" t="e">
        <f t="shared" si="9"/>
        <v>#DIV/0!</v>
      </c>
      <c r="R74" s="14">
        <f t="shared" si="10"/>
        <v>12100</v>
      </c>
      <c r="S74" s="43">
        <f t="shared" si="11"/>
        <v>0.27777777777777779</v>
      </c>
      <c r="T74" s="38">
        <v>0</v>
      </c>
      <c r="U74" s="5" t="s">
        <v>347</v>
      </c>
      <c r="V74" t="s">
        <v>759</v>
      </c>
      <c r="X74" t="s">
        <v>350</v>
      </c>
      <c r="Y74" s="6" t="s">
        <v>32</v>
      </c>
    </row>
    <row r="75" spans="1:25" hidden="1" x14ac:dyDescent="0.25">
      <c r="A75" t="s">
        <v>760</v>
      </c>
      <c r="B75" t="s">
        <v>761</v>
      </c>
      <c r="C75" s="24">
        <v>44722</v>
      </c>
      <c r="D75" s="14">
        <v>405000</v>
      </c>
      <c r="E75" t="s">
        <v>27</v>
      </c>
      <c r="F75" t="s">
        <v>28</v>
      </c>
      <c r="G75" s="14">
        <v>405000</v>
      </c>
      <c r="H75" s="14">
        <v>168300</v>
      </c>
      <c r="I75" s="19">
        <f t="shared" si="8"/>
        <v>41.555555555555557</v>
      </c>
      <c r="J75" s="14">
        <v>336556</v>
      </c>
      <c r="K75" s="14">
        <f>G75-275556</f>
        <v>129444</v>
      </c>
      <c r="L75" s="14">
        <v>61000</v>
      </c>
      <c r="M75" s="29">
        <v>0</v>
      </c>
      <c r="N75" s="33">
        <v>0</v>
      </c>
      <c r="O75" s="38">
        <v>0.55000000000000004</v>
      </c>
      <c r="P75" s="38">
        <v>0.55000000000000004</v>
      </c>
      <c r="Q75" s="14" t="e">
        <f t="shared" si="9"/>
        <v>#DIV/0!</v>
      </c>
      <c r="R75" s="14">
        <f t="shared" si="10"/>
        <v>235352.72727272726</v>
      </c>
      <c r="S75" s="43">
        <f t="shared" si="11"/>
        <v>5.4029551715502127</v>
      </c>
      <c r="T75" s="38">
        <v>0</v>
      </c>
      <c r="U75" s="5" t="s">
        <v>347</v>
      </c>
      <c r="V75" t="s">
        <v>762</v>
      </c>
      <c r="X75" t="s">
        <v>350</v>
      </c>
      <c r="Y75" s="6" t="s">
        <v>32</v>
      </c>
    </row>
    <row r="76" spans="1:25" ht="15.75" hidden="1" thickBot="1" x14ac:dyDescent="0.3">
      <c r="A76" t="s">
        <v>763</v>
      </c>
      <c r="B76" t="s">
        <v>764</v>
      </c>
      <c r="C76" s="24">
        <v>44588</v>
      </c>
      <c r="D76" s="14">
        <v>342000</v>
      </c>
      <c r="E76" t="s">
        <v>27</v>
      </c>
      <c r="F76" t="s">
        <v>28</v>
      </c>
      <c r="G76" s="14">
        <v>342000</v>
      </c>
      <c r="H76" s="14">
        <v>181700</v>
      </c>
      <c r="I76" s="19">
        <f t="shared" si="8"/>
        <v>53.128654970760238</v>
      </c>
      <c r="J76" s="14">
        <v>363300</v>
      </c>
      <c r="K76" s="14">
        <f>G76-325300</f>
        <v>16700</v>
      </c>
      <c r="L76" s="14">
        <v>38000</v>
      </c>
      <c r="M76" s="29">
        <v>0</v>
      </c>
      <c r="N76" s="33">
        <v>0</v>
      </c>
      <c r="O76" s="38">
        <v>0</v>
      </c>
      <c r="P76" s="38">
        <v>0</v>
      </c>
      <c r="Q76" s="14" t="e">
        <f t="shared" si="9"/>
        <v>#DIV/0!</v>
      </c>
      <c r="R76" s="14" t="e">
        <f t="shared" si="10"/>
        <v>#DIV/0!</v>
      </c>
      <c r="S76" s="43" t="e">
        <f t="shared" si="11"/>
        <v>#DIV/0!</v>
      </c>
      <c r="T76" s="38">
        <v>0</v>
      </c>
      <c r="U76" s="5" t="s">
        <v>347</v>
      </c>
      <c r="V76" t="s">
        <v>765</v>
      </c>
      <c r="X76" t="s">
        <v>350</v>
      </c>
      <c r="Y76" s="6" t="s">
        <v>32</v>
      </c>
    </row>
    <row r="77" spans="1:25" ht="15.75" hidden="1" thickTop="1" x14ac:dyDescent="0.25">
      <c r="A77" s="7"/>
      <c r="B77" s="7"/>
      <c r="C77" s="25" t="s">
        <v>769</v>
      </c>
      <c r="D77" s="15">
        <f>+SUM(D4:D76)</f>
        <v>20979560</v>
      </c>
      <c r="E77" s="7"/>
      <c r="F77" s="7"/>
      <c r="G77" s="15">
        <f>+SUM(G4:G76)</f>
        <v>20979560</v>
      </c>
      <c r="H77" s="15">
        <f>+SUM(H4:H76)</f>
        <v>9911200</v>
      </c>
      <c r="I77" s="20"/>
      <c r="J77" s="15">
        <f>+SUM(J4:J76)</f>
        <v>19850374</v>
      </c>
      <c r="K77" s="15">
        <f>+SUM(K4:K76)</f>
        <v>4900706</v>
      </c>
      <c r="L77" s="15">
        <f>+SUM(L4:L76)</f>
        <v>3743360</v>
      </c>
      <c r="M77" s="30">
        <f>+SUM(M4:M76)</f>
        <v>80</v>
      </c>
      <c r="N77" s="34"/>
      <c r="O77" s="39">
        <f>+SUM(O4:O76)</f>
        <v>23.062000000000001</v>
      </c>
      <c r="P77" s="39">
        <f>+SUM(P4:P76)</f>
        <v>22.622000000000003</v>
      </c>
      <c r="Q77" s="15"/>
      <c r="R77" s="15"/>
      <c r="S77" s="44"/>
      <c r="T77" s="39"/>
      <c r="U77" s="8"/>
      <c r="V77" s="7"/>
      <c r="W77" s="7"/>
      <c r="X77" s="7"/>
      <c r="Y77" s="7"/>
    </row>
    <row r="78" spans="1:25" hidden="1" x14ac:dyDescent="0.25">
      <c r="A78" s="9"/>
      <c r="B78" s="9"/>
      <c r="C78" s="26"/>
      <c r="D78" s="16"/>
      <c r="E78" s="9"/>
      <c r="F78" s="9"/>
      <c r="G78" s="16"/>
      <c r="H78" s="16" t="s">
        <v>770</v>
      </c>
      <c r="I78" s="21">
        <f>H77/G77*100</f>
        <v>47.24217285777204</v>
      </c>
      <c r="J78" s="16"/>
      <c r="K78" s="16"/>
      <c r="L78" s="16" t="s">
        <v>771</v>
      </c>
      <c r="M78" s="31"/>
      <c r="N78" s="35"/>
      <c r="O78" s="40" t="s">
        <v>771</v>
      </c>
      <c r="P78" s="40"/>
      <c r="Q78" s="16"/>
      <c r="R78" s="16" t="s">
        <v>771</v>
      </c>
      <c r="S78" s="45"/>
      <c r="T78" s="40"/>
      <c r="U78" s="10"/>
      <c r="V78" s="9"/>
      <c r="W78" s="9"/>
      <c r="X78" s="9"/>
      <c r="Y78" s="9"/>
    </row>
    <row r="79" spans="1:25" hidden="1" x14ac:dyDescent="0.25">
      <c r="A79" s="11"/>
      <c r="B79" s="11"/>
      <c r="C79" s="27"/>
      <c r="D79" s="17"/>
      <c r="E79" s="11"/>
      <c r="F79" s="11"/>
      <c r="G79" s="17"/>
      <c r="H79" s="17" t="s">
        <v>772</v>
      </c>
      <c r="I79" s="22">
        <f>STDEV(I4:I76)</f>
        <v>6.8376793820019097</v>
      </c>
      <c r="J79" s="17"/>
      <c r="K79" s="17"/>
      <c r="L79" s="17" t="s">
        <v>773</v>
      </c>
      <c r="M79" s="47">
        <f>K77/M77</f>
        <v>61258.824999999997</v>
      </c>
      <c r="N79" s="36"/>
      <c r="O79" s="41" t="s">
        <v>774</v>
      </c>
      <c r="P79" s="41">
        <f>K77/O77</f>
        <v>212501.34420258433</v>
      </c>
      <c r="Q79" s="17"/>
      <c r="R79" s="17" t="s">
        <v>775</v>
      </c>
      <c r="S79" s="46">
        <f>K77/O77/43560</f>
        <v>4.8783596006102918</v>
      </c>
      <c r="T79" s="41"/>
      <c r="U79" s="12"/>
      <c r="V79" s="11"/>
      <c r="W79" s="11"/>
      <c r="X79" s="11"/>
      <c r="Y79" s="11"/>
    </row>
    <row r="80" spans="1:25" hidden="1" x14ac:dyDescent="0.25"/>
    <row r="82" spans="1:45" x14ac:dyDescent="0.25">
      <c r="A82" s="48" t="s">
        <v>790</v>
      </c>
    </row>
    <row r="83" spans="1:45" x14ac:dyDescent="0.25">
      <c r="A83" s="1" t="s">
        <v>0</v>
      </c>
      <c r="B83" s="1" t="s">
        <v>1</v>
      </c>
      <c r="C83" s="23" t="s">
        <v>2</v>
      </c>
      <c r="D83" s="13" t="s">
        <v>3</v>
      </c>
      <c r="E83" s="1" t="s">
        <v>4</v>
      </c>
      <c r="F83" s="1" t="s">
        <v>5</v>
      </c>
      <c r="G83" s="13" t="s">
        <v>6</v>
      </c>
      <c r="H83" s="13" t="s">
        <v>7</v>
      </c>
      <c r="I83" s="18" t="s">
        <v>8</v>
      </c>
      <c r="J83" s="13" t="s">
        <v>9</v>
      </c>
      <c r="K83" s="13" t="s">
        <v>10</v>
      </c>
      <c r="L83" s="13" t="s">
        <v>11</v>
      </c>
      <c r="M83" s="28" t="s">
        <v>12</v>
      </c>
      <c r="N83" s="32" t="s">
        <v>13</v>
      </c>
      <c r="O83" s="37" t="s">
        <v>785</v>
      </c>
      <c r="P83" s="37" t="s">
        <v>15</v>
      </c>
      <c r="Q83" s="13" t="s">
        <v>16</v>
      </c>
      <c r="R83" s="13" t="s">
        <v>17</v>
      </c>
      <c r="S83" s="42" t="s">
        <v>18</v>
      </c>
      <c r="T83" s="37" t="s">
        <v>19</v>
      </c>
      <c r="U83" s="3" t="s">
        <v>20</v>
      </c>
      <c r="V83" s="1" t="s">
        <v>21</v>
      </c>
      <c r="W83" s="1" t="s">
        <v>22</v>
      </c>
      <c r="X83" s="1" t="s">
        <v>23</v>
      </c>
      <c r="Y83" s="1" t="s">
        <v>24</v>
      </c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</row>
    <row r="84" spans="1:45" x14ac:dyDescent="0.25">
      <c r="A84" t="s">
        <v>345</v>
      </c>
      <c r="B84" t="s">
        <v>346</v>
      </c>
      <c r="C84" s="24">
        <v>44757</v>
      </c>
      <c r="D84" s="14">
        <v>440000</v>
      </c>
      <c r="E84" t="s">
        <v>27</v>
      </c>
      <c r="F84" t="s">
        <v>42</v>
      </c>
      <c r="G84" s="14">
        <v>440000</v>
      </c>
      <c r="H84" s="14">
        <v>192000</v>
      </c>
      <c r="I84" s="19">
        <f>H84/G84*100</f>
        <v>43.636363636363633</v>
      </c>
      <c r="J84" s="14">
        <v>412073</v>
      </c>
      <c r="K84" s="14">
        <f>G84-311753</f>
        <v>128247</v>
      </c>
      <c r="L84" s="14">
        <v>72160</v>
      </c>
      <c r="M84" s="29">
        <v>0</v>
      </c>
      <c r="N84" s="33">
        <v>0</v>
      </c>
      <c r="O84" s="38">
        <v>2</v>
      </c>
      <c r="P84" s="38">
        <v>0</v>
      </c>
      <c r="Q84" s="14" t="e">
        <f>K84/M84</f>
        <v>#DIV/0!</v>
      </c>
      <c r="R84" s="14">
        <f>K84/O84</f>
        <v>64123.5</v>
      </c>
      <c r="S84" s="43">
        <f>K84/O84/43560</f>
        <v>1.472073002754821</v>
      </c>
      <c r="T84" s="38">
        <v>0</v>
      </c>
      <c r="U84" s="5" t="s">
        <v>347</v>
      </c>
      <c r="V84" t="s">
        <v>348</v>
      </c>
      <c r="W84" t="s">
        <v>349</v>
      </c>
      <c r="X84" t="s">
        <v>350</v>
      </c>
      <c r="Y84" s="6" t="s">
        <v>32</v>
      </c>
    </row>
    <row r="85" spans="1:45" ht="15.75" thickBot="1" x14ac:dyDescent="0.3">
      <c r="A85" t="s">
        <v>351</v>
      </c>
      <c r="B85" t="s">
        <v>352</v>
      </c>
      <c r="C85" s="24">
        <v>45180</v>
      </c>
      <c r="D85" s="14">
        <v>439900</v>
      </c>
      <c r="E85" t="s">
        <v>27</v>
      </c>
      <c r="F85" t="s">
        <v>28</v>
      </c>
      <c r="G85" s="14">
        <v>439900</v>
      </c>
      <c r="H85" s="14">
        <v>200100</v>
      </c>
      <c r="I85" s="19">
        <f>H85/G85*100</f>
        <v>45.487610820641052</v>
      </c>
      <c r="J85" s="14">
        <v>400215</v>
      </c>
      <c r="K85" s="14">
        <f>G85-356215</f>
        <v>83685</v>
      </c>
      <c r="L85" s="14">
        <v>44000</v>
      </c>
      <c r="M85" s="29">
        <v>0</v>
      </c>
      <c r="N85" s="33">
        <v>0</v>
      </c>
      <c r="O85" s="38">
        <v>1</v>
      </c>
      <c r="P85" s="38">
        <v>0</v>
      </c>
      <c r="Q85" s="14" t="e">
        <f>K85/M85</f>
        <v>#DIV/0!</v>
      </c>
      <c r="R85" s="14">
        <f>K85/O85</f>
        <v>83685</v>
      </c>
      <c r="S85" s="43">
        <f>K85/O85/43560</f>
        <v>1.9211432506887052</v>
      </c>
      <c r="T85" s="38">
        <v>0</v>
      </c>
      <c r="U85" s="5" t="s">
        <v>347</v>
      </c>
      <c r="V85" t="s">
        <v>353</v>
      </c>
      <c r="X85" t="s">
        <v>350</v>
      </c>
      <c r="Y85" s="6" t="s">
        <v>32</v>
      </c>
    </row>
    <row r="86" spans="1:45" ht="15.75" thickTop="1" x14ac:dyDescent="0.25">
      <c r="A86" s="7"/>
      <c r="B86" s="7"/>
      <c r="C86" s="25" t="s">
        <v>769</v>
      </c>
      <c r="D86" s="15">
        <f>+SUM(D84:D85)</f>
        <v>879900</v>
      </c>
      <c r="E86" s="7"/>
      <c r="F86" s="7"/>
      <c r="G86" s="15">
        <f>+SUM(G84:G85)</f>
        <v>879900</v>
      </c>
      <c r="H86" s="15">
        <f>+SUM(H84:H85)</f>
        <v>392100</v>
      </c>
      <c r="I86" s="20"/>
      <c r="J86" s="15">
        <f>+SUM(J84:J85)</f>
        <v>812288</v>
      </c>
      <c r="K86" s="15">
        <f>+SUM(K84:K85)</f>
        <v>211932</v>
      </c>
      <c r="L86" s="15">
        <f>+SUM(L84:L85)</f>
        <v>116160</v>
      </c>
      <c r="M86" s="30">
        <f>+SUM(M84:M85)</f>
        <v>0</v>
      </c>
      <c r="N86" s="34"/>
      <c r="O86" s="39">
        <f>+SUM(O84:O85)</f>
        <v>3</v>
      </c>
      <c r="P86" s="39">
        <f>+SUM(P84:P85)</f>
        <v>0</v>
      </c>
      <c r="Q86" s="15"/>
      <c r="R86" s="15"/>
      <c r="S86" s="44"/>
      <c r="T86" s="39"/>
      <c r="U86" s="8"/>
      <c r="V86" s="7"/>
      <c r="W86" s="7"/>
      <c r="X86" s="7"/>
      <c r="Y86" s="7"/>
    </row>
    <row r="87" spans="1:45" x14ac:dyDescent="0.25">
      <c r="A87" s="9"/>
      <c r="B87" s="9"/>
      <c r="C87" s="26"/>
      <c r="D87" s="16"/>
      <c r="E87" s="9"/>
      <c r="F87" s="9"/>
      <c r="G87" s="16"/>
      <c r="H87" s="16" t="s">
        <v>770</v>
      </c>
      <c r="I87" s="21">
        <f>H86/G86*100</f>
        <v>44.561882032049091</v>
      </c>
      <c r="J87" s="16"/>
      <c r="K87" s="16"/>
      <c r="L87" s="16" t="s">
        <v>771</v>
      </c>
      <c r="M87" s="31"/>
      <c r="N87" s="35"/>
      <c r="O87" s="40" t="s">
        <v>771</v>
      </c>
      <c r="P87" s="40"/>
      <c r="Q87" s="16"/>
      <c r="R87" s="16" t="s">
        <v>771</v>
      </c>
      <c r="S87" s="45"/>
      <c r="T87" s="40"/>
      <c r="U87" s="10"/>
      <c r="V87" s="9"/>
      <c r="W87" s="9"/>
      <c r="X87" s="9"/>
      <c r="Y87" s="9"/>
    </row>
    <row r="88" spans="1:45" ht="15.75" thickBot="1" x14ac:dyDescent="0.3">
      <c r="A88" s="11"/>
      <c r="B88" s="11"/>
      <c r="C88" s="27"/>
      <c r="D88" s="17"/>
      <c r="E88" s="11"/>
      <c r="F88" s="11"/>
      <c r="G88" s="17"/>
      <c r="H88" s="17" t="s">
        <v>772</v>
      </c>
      <c r="I88" s="22">
        <f>STDEV(I84:I85)</f>
        <v>1.3090294376550651</v>
      </c>
      <c r="J88" s="17"/>
      <c r="K88" s="17"/>
      <c r="L88" s="17" t="s">
        <v>773</v>
      </c>
      <c r="M88" s="47" t="e">
        <f>K86/M86</f>
        <v>#DIV/0!</v>
      </c>
      <c r="N88" s="36"/>
      <c r="O88" s="40" t="s">
        <v>774</v>
      </c>
      <c r="P88" s="40">
        <f>K86/O86</f>
        <v>70644</v>
      </c>
      <c r="Q88" s="16"/>
      <c r="R88" s="16" t="s">
        <v>775</v>
      </c>
      <c r="S88" s="46">
        <f>K86/O86/43560</f>
        <v>1.6217630853994491</v>
      </c>
      <c r="T88" s="41"/>
      <c r="U88" s="12"/>
      <c r="V88" s="11"/>
      <c r="W88" s="11"/>
      <c r="X88" s="11"/>
      <c r="Y88" s="11"/>
    </row>
    <row r="89" spans="1:45" x14ac:dyDescent="0.25">
      <c r="O89" s="49" t="s">
        <v>783</v>
      </c>
      <c r="P89" s="53">
        <v>44000</v>
      </c>
      <c r="Q89" s="54"/>
      <c r="R89" s="55" t="s">
        <v>791</v>
      </c>
    </row>
    <row r="90" spans="1:45" ht="15.75" thickBot="1" x14ac:dyDescent="0.3">
      <c r="O90" s="51" t="s">
        <v>784</v>
      </c>
      <c r="P90" s="56">
        <v>56000</v>
      </c>
      <c r="Q90" s="56">
        <v>1.4</v>
      </c>
      <c r="R90" s="57">
        <f>P90*Q90</f>
        <v>78400</v>
      </c>
    </row>
    <row r="91" spans="1:45" x14ac:dyDescent="0.25">
      <c r="A91" s="48" t="s">
        <v>789</v>
      </c>
    </row>
    <row r="92" spans="1:45" x14ac:dyDescent="0.25">
      <c r="A92" s="1" t="s">
        <v>0</v>
      </c>
      <c r="B92" s="1" t="s">
        <v>1</v>
      </c>
      <c r="C92" s="23" t="s">
        <v>2</v>
      </c>
      <c r="D92" s="13" t="s">
        <v>3</v>
      </c>
      <c r="E92" s="1" t="s">
        <v>4</v>
      </c>
      <c r="F92" s="1" t="s">
        <v>5</v>
      </c>
      <c r="G92" s="13" t="s">
        <v>6</v>
      </c>
      <c r="H92" s="13" t="s">
        <v>7</v>
      </c>
      <c r="I92" s="18" t="s">
        <v>8</v>
      </c>
      <c r="J92" s="13" t="s">
        <v>9</v>
      </c>
      <c r="K92" s="13" t="s">
        <v>10</v>
      </c>
      <c r="L92" s="13" t="s">
        <v>11</v>
      </c>
      <c r="M92" s="28" t="s">
        <v>12</v>
      </c>
      <c r="N92" s="32" t="s">
        <v>13</v>
      </c>
      <c r="O92" s="37" t="s">
        <v>785</v>
      </c>
      <c r="P92" s="37" t="s">
        <v>15</v>
      </c>
      <c r="Q92" s="13" t="s">
        <v>16</v>
      </c>
      <c r="R92" s="13" t="s">
        <v>17</v>
      </c>
      <c r="S92" s="42" t="s">
        <v>18</v>
      </c>
      <c r="T92" s="37" t="s">
        <v>19</v>
      </c>
      <c r="U92" s="3" t="s">
        <v>20</v>
      </c>
      <c r="V92" s="1" t="s">
        <v>21</v>
      </c>
      <c r="W92" s="1" t="s">
        <v>22</v>
      </c>
      <c r="X92" s="1" t="s">
        <v>23</v>
      </c>
      <c r="Y92" s="1" t="s">
        <v>24</v>
      </c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</row>
    <row r="93" spans="1:45" x14ac:dyDescent="0.25">
      <c r="A93" t="s">
        <v>362</v>
      </c>
      <c r="B93" t="s">
        <v>363</v>
      </c>
      <c r="C93" s="24">
        <v>44375</v>
      </c>
      <c r="D93" s="14">
        <v>265000</v>
      </c>
      <c r="E93" t="s">
        <v>27</v>
      </c>
      <c r="F93" t="s">
        <v>28</v>
      </c>
      <c r="G93" s="14">
        <v>265000</v>
      </c>
      <c r="H93" s="14">
        <v>139200</v>
      </c>
      <c r="I93" s="19">
        <f t="shared" ref="I93:I98" si="12">H93/G93*100</f>
        <v>52.528301886792448</v>
      </c>
      <c r="J93" s="14">
        <v>278333</v>
      </c>
      <c r="K93" s="14">
        <f>G93-240333</f>
        <v>24667</v>
      </c>
      <c r="L93" s="14">
        <v>38000</v>
      </c>
      <c r="M93" s="29">
        <v>0</v>
      </c>
      <c r="N93" s="33">
        <v>0</v>
      </c>
      <c r="O93" s="38">
        <v>1</v>
      </c>
      <c r="P93" s="38">
        <v>0.34</v>
      </c>
      <c r="Q93" s="14" t="e">
        <f t="shared" ref="Q93:Q98" si="13">K93/M93</f>
        <v>#DIV/0!</v>
      </c>
      <c r="R93" s="14">
        <f t="shared" ref="R93:R98" si="14">K93/O93</f>
        <v>24667</v>
      </c>
      <c r="S93" s="43">
        <f t="shared" ref="S93:S98" si="15">K93/O93/43560</f>
        <v>0.56627640036730942</v>
      </c>
      <c r="T93" s="38">
        <v>0</v>
      </c>
      <c r="U93" s="5" t="s">
        <v>347</v>
      </c>
      <c r="V93" t="s">
        <v>364</v>
      </c>
      <c r="X93" t="s">
        <v>350</v>
      </c>
      <c r="Y93" s="6" t="s">
        <v>32</v>
      </c>
    </row>
    <row r="94" spans="1:45" x14ac:dyDescent="0.25">
      <c r="A94" t="s">
        <v>365</v>
      </c>
      <c r="B94" t="s">
        <v>366</v>
      </c>
      <c r="C94" s="24">
        <v>45016</v>
      </c>
      <c r="D94" s="14">
        <v>267000</v>
      </c>
      <c r="E94" t="s">
        <v>27</v>
      </c>
      <c r="F94" t="s">
        <v>28</v>
      </c>
      <c r="G94" s="14">
        <v>267000</v>
      </c>
      <c r="H94" s="14">
        <v>131200</v>
      </c>
      <c r="I94" s="19">
        <f t="shared" si="12"/>
        <v>49.138576779026216</v>
      </c>
      <c r="J94" s="14">
        <v>262322</v>
      </c>
      <c r="K94" s="14">
        <f>G94-224322</f>
        <v>42678</v>
      </c>
      <c r="L94" s="14">
        <v>38000</v>
      </c>
      <c r="M94" s="29">
        <v>0</v>
      </c>
      <c r="N94" s="33">
        <v>0</v>
      </c>
      <c r="O94" s="38">
        <v>1</v>
      </c>
      <c r="P94" s="38">
        <v>0.34</v>
      </c>
      <c r="Q94" s="14" t="e">
        <f t="shared" si="13"/>
        <v>#DIV/0!</v>
      </c>
      <c r="R94" s="14">
        <f t="shared" si="14"/>
        <v>42678</v>
      </c>
      <c r="S94" s="43">
        <f t="shared" si="15"/>
        <v>0.97975206611570242</v>
      </c>
      <c r="T94" s="38">
        <v>0</v>
      </c>
      <c r="U94" s="5" t="s">
        <v>347</v>
      </c>
      <c r="V94" t="s">
        <v>367</v>
      </c>
      <c r="X94" t="s">
        <v>350</v>
      </c>
      <c r="Y94" s="6" t="s">
        <v>32</v>
      </c>
    </row>
    <row r="95" spans="1:45" x14ac:dyDescent="0.25">
      <c r="A95" t="s">
        <v>368</v>
      </c>
      <c r="B95" t="s">
        <v>369</v>
      </c>
      <c r="C95" s="24">
        <v>45163</v>
      </c>
      <c r="D95" s="14">
        <v>295000</v>
      </c>
      <c r="E95" t="s">
        <v>27</v>
      </c>
      <c r="F95" t="s">
        <v>28</v>
      </c>
      <c r="G95" s="14">
        <v>295000</v>
      </c>
      <c r="H95" s="14">
        <v>130800</v>
      </c>
      <c r="I95" s="19">
        <f t="shared" si="12"/>
        <v>44.33898305084746</v>
      </c>
      <c r="J95" s="14">
        <v>261626</v>
      </c>
      <c r="K95" s="14">
        <f>G95-223626</f>
        <v>71374</v>
      </c>
      <c r="L95" s="14">
        <v>38000</v>
      </c>
      <c r="M95" s="29">
        <v>0</v>
      </c>
      <c r="N95" s="33">
        <v>0</v>
      </c>
      <c r="O95" s="38">
        <v>1</v>
      </c>
      <c r="P95" s="38">
        <v>0.34</v>
      </c>
      <c r="Q95" s="14" t="e">
        <f t="shared" si="13"/>
        <v>#DIV/0!</v>
      </c>
      <c r="R95" s="14">
        <f t="shared" si="14"/>
        <v>71374</v>
      </c>
      <c r="S95" s="43">
        <f t="shared" si="15"/>
        <v>1.6385215794306704</v>
      </c>
      <c r="T95" s="38">
        <v>0</v>
      </c>
      <c r="U95" s="5" t="s">
        <v>347</v>
      </c>
      <c r="V95" t="s">
        <v>370</v>
      </c>
      <c r="X95" t="s">
        <v>350</v>
      </c>
      <c r="Y95" s="6" t="s">
        <v>32</v>
      </c>
    </row>
    <row r="96" spans="1:45" x14ac:dyDescent="0.25">
      <c r="A96" t="s">
        <v>377</v>
      </c>
      <c r="B96" t="s">
        <v>378</v>
      </c>
      <c r="C96" s="24">
        <v>44319</v>
      </c>
      <c r="D96" s="14">
        <v>260000</v>
      </c>
      <c r="E96" t="s">
        <v>27</v>
      </c>
      <c r="F96" t="s">
        <v>28</v>
      </c>
      <c r="G96" s="14">
        <v>260000</v>
      </c>
      <c r="H96" s="14">
        <v>135300</v>
      </c>
      <c r="I96" s="19">
        <f t="shared" si="12"/>
        <v>52.038461538461533</v>
      </c>
      <c r="J96" s="14">
        <v>270592</v>
      </c>
      <c r="K96" s="14">
        <f>G96-232592</f>
        <v>27408</v>
      </c>
      <c r="L96" s="14">
        <v>38000</v>
      </c>
      <c r="M96" s="29">
        <v>0</v>
      </c>
      <c r="N96" s="33">
        <v>0</v>
      </c>
      <c r="O96" s="38">
        <v>1</v>
      </c>
      <c r="P96" s="38">
        <v>0.34</v>
      </c>
      <c r="Q96" s="14" t="e">
        <f t="shared" si="13"/>
        <v>#DIV/0!</v>
      </c>
      <c r="R96" s="14">
        <f t="shared" si="14"/>
        <v>27408</v>
      </c>
      <c r="S96" s="43">
        <f t="shared" si="15"/>
        <v>0.62920110192837464</v>
      </c>
      <c r="T96" s="38">
        <v>0</v>
      </c>
      <c r="U96" s="5" t="s">
        <v>347</v>
      </c>
      <c r="V96" t="s">
        <v>379</v>
      </c>
      <c r="X96" t="s">
        <v>350</v>
      </c>
      <c r="Y96" s="6" t="s">
        <v>32</v>
      </c>
    </row>
    <row r="97" spans="1:45" x14ac:dyDescent="0.25">
      <c r="A97" t="s">
        <v>380</v>
      </c>
      <c r="B97" t="s">
        <v>381</v>
      </c>
      <c r="C97" s="24">
        <v>44715</v>
      </c>
      <c r="D97" s="14">
        <v>321000</v>
      </c>
      <c r="E97" t="s">
        <v>27</v>
      </c>
      <c r="F97" t="s">
        <v>28</v>
      </c>
      <c r="G97" s="14">
        <v>321000</v>
      </c>
      <c r="H97" s="14">
        <v>141500</v>
      </c>
      <c r="I97" s="19">
        <f t="shared" si="12"/>
        <v>44.0809968847352</v>
      </c>
      <c r="J97" s="14">
        <v>282940</v>
      </c>
      <c r="K97" s="14">
        <f>G97-244940</f>
        <v>76060</v>
      </c>
      <c r="L97" s="14">
        <v>38000</v>
      </c>
      <c r="M97" s="29">
        <v>0</v>
      </c>
      <c r="N97" s="33">
        <v>0</v>
      </c>
      <c r="O97" s="38">
        <v>1</v>
      </c>
      <c r="P97" s="38">
        <v>0.4</v>
      </c>
      <c r="Q97" s="14" t="e">
        <f t="shared" si="13"/>
        <v>#DIV/0!</v>
      </c>
      <c r="R97" s="14">
        <f t="shared" si="14"/>
        <v>76060</v>
      </c>
      <c r="S97" s="43">
        <f t="shared" si="15"/>
        <v>1.7460973370064279</v>
      </c>
      <c r="T97" s="38">
        <v>0</v>
      </c>
      <c r="U97" s="5" t="s">
        <v>347</v>
      </c>
      <c r="V97" t="s">
        <v>383</v>
      </c>
      <c r="X97" t="s">
        <v>350</v>
      </c>
      <c r="Y97" s="6" t="s">
        <v>32</v>
      </c>
    </row>
    <row r="98" spans="1:45" ht="15.75" thickBot="1" x14ac:dyDescent="0.3">
      <c r="A98" t="s">
        <v>380</v>
      </c>
      <c r="B98" t="s">
        <v>381</v>
      </c>
      <c r="C98" s="24">
        <v>44508</v>
      </c>
      <c r="D98" s="14">
        <v>280500</v>
      </c>
      <c r="E98" t="s">
        <v>27</v>
      </c>
      <c r="F98" t="s">
        <v>28</v>
      </c>
      <c r="G98" s="14">
        <v>280500</v>
      </c>
      <c r="H98" s="14">
        <v>141500</v>
      </c>
      <c r="I98" s="19">
        <f t="shared" si="12"/>
        <v>50.445632798573982</v>
      </c>
      <c r="J98" s="14">
        <v>282940</v>
      </c>
      <c r="K98" s="14">
        <f>G98-244940</f>
        <v>35560</v>
      </c>
      <c r="L98" s="14">
        <v>38000</v>
      </c>
      <c r="M98" s="29">
        <v>0</v>
      </c>
      <c r="N98" s="33">
        <v>0</v>
      </c>
      <c r="O98" s="38">
        <v>1</v>
      </c>
      <c r="P98" s="38">
        <v>0.4</v>
      </c>
      <c r="Q98" s="14" t="e">
        <f t="shared" si="13"/>
        <v>#DIV/0!</v>
      </c>
      <c r="R98" s="14">
        <f t="shared" si="14"/>
        <v>35560</v>
      </c>
      <c r="S98" s="43">
        <f t="shared" si="15"/>
        <v>0.81634527089072539</v>
      </c>
      <c r="T98" s="38">
        <v>0</v>
      </c>
      <c r="U98" s="5" t="s">
        <v>347</v>
      </c>
      <c r="V98" t="s">
        <v>382</v>
      </c>
      <c r="X98" t="s">
        <v>350</v>
      </c>
      <c r="Y98" s="6" t="s">
        <v>32</v>
      </c>
    </row>
    <row r="99" spans="1:45" ht="15.75" thickTop="1" x14ac:dyDescent="0.25">
      <c r="A99" s="7"/>
      <c r="B99" s="7"/>
      <c r="C99" s="25" t="s">
        <v>769</v>
      </c>
      <c r="D99" s="15">
        <f>+SUM(D93:D98)</f>
        <v>1688500</v>
      </c>
      <c r="E99" s="7"/>
      <c r="F99" s="7"/>
      <c r="G99" s="15">
        <f>+SUM(G93:G98)</f>
        <v>1688500</v>
      </c>
      <c r="H99" s="15">
        <f>+SUM(H93:H98)</f>
        <v>819500</v>
      </c>
      <c r="I99" s="20"/>
      <c r="J99" s="15">
        <f>+SUM(J93:J98)</f>
        <v>1638753</v>
      </c>
      <c r="K99" s="15">
        <f>+SUM(K93:K98)</f>
        <v>277747</v>
      </c>
      <c r="L99" s="15">
        <f>+SUM(L93:L98)</f>
        <v>228000</v>
      </c>
      <c r="M99" s="30">
        <f>+SUM(M93:M98)</f>
        <v>0</v>
      </c>
      <c r="N99" s="34"/>
      <c r="O99" s="39">
        <f>+SUM(O93:O98)</f>
        <v>6</v>
      </c>
      <c r="P99" s="39">
        <f>+SUM(P93:P98)</f>
        <v>2.16</v>
      </c>
      <c r="Q99" s="15"/>
      <c r="R99" s="15"/>
      <c r="S99" s="44"/>
      <c r="T99" s="39"/>
      <c r="U99" s="8"/>
      <c r="V99" s="7"/>
      <c r="W99" s="7"/>
      <c r="X99" s="7"/>
      <c r="Y99" s="7"/>
    </row>
    <row r="100" spans="1:45" x14ac:dyDescent="0.25">
      <c r="A100" s="9"/>
      <c r="B100" s="9"/>
      <c r="C100" s="26"/>
      <c r="D100" s="16"/>
      <c r="E100" s="9"/>
      <c r="F100" s="9"/>
      <c r="G100" s="16"/>
      <c r="H100" s="16" t="s">
        <v>770</v>
      </c>
      <c r="I100" s="21">
        <f>H99/G99*100</f>
        <v>48.534201954397396</v>
      </c>
      <c r="J100" s="16"/>
      <c r="K100" s="16"/>
      <c r="L100" s="16" t="s">
        <v>771</v>
      </c>
      <c r="M100" s="31"/>
      <c r="N100" s="35"/>
      <c r="O100" s="40" t="s">
        <v>771</v>
      </c>
      <c r="P100" s="40"/>
      <c r="Q100" s="16"/>
      <c r="R100" s="16" t="s">
        <v>771</v>
      </c>
      <c r="S100" s="45"/>
      <c r="T100" s="40"/>
      <c r="U100" s="10"/>
      <c r="V100" s="9"/>
      <c r="W100" s="9"/>
      <c r="X100" s="9"/>
      <c r="Y100" s="9"/>
    </row>
    <row r="101" spans="1:45" ht="15.75" thickBot="1" x14ac:dyDescent="0.3">
      <c r="A101" s="11"/>
      <c r="B101" s="11"/>
      <c r="C101" s="27"/>
      <c r="D101" s="17"/>
      <c r="E101" s="11"/>
      <c r="F101" s="11"/>
      <c r="G101" s="17"/>
      <c r="H101" s="17" t="s">
        <v>772</v>
      </c>
      <c r="I101" s="22">
        <f>STDEV(I93:I98)</f>
        <v>3.7248229085768978</v>
      </c>
      <c r="J101" s="17"/>
      <c r="K101" s="17"/>
      <c r="L101" s="17" t="s">
        <v>773</v>
      </c>
      <c r="M101" s="47" t="e">
        <f>K99/M99</f>
        <v>#DIV/0!</v>
      </c>
      <c r="N101" s="36"/>
      <c r="O101" s="41" t="s">
        <v>786</v>
      </c>
      <c r="P101" s="41">
        <f>K99/O99</f>
        <v>46291.166666666664</v>
      </c>
      <c r="Q101" s="17"/>
      <c r="R101" s="17" t="s">
        <v>775</v>
      </c>
      <c r="S101" s="46">
        <f>K99/O99/43560</f>
        <v>1.0626989592898684</v>
      </c>
      <c r="T101" s="41"/>
      <c r="U101" s="12"/>
      <c r="V101" s="11"/>
      <c r="W101" s="11"/>
      <c r="X101" s="11"/>
      <c r="Y101" s="11"/>
    </row>
    <row r="102" spans="1:45" x14ac:dyDescent="0.25">
      <c r="O102" s="49" t="s">
        <v>783</v>
      </c>
      <c r="P102" s="53">
        <v>38000</v>
      </c>
      <c r="Q102" s="54"/>
      <c r="R102" s="55" t="s">
        <v>791</v>
      </c>
    </row>
    <row r="103" spans="1:45" ht="15.75" thickBot="1" x14ac:dyDescent="0.3">
      <c r="O103" s="51" t="s">
        <v>784</v>
      </c>
      <c r="P103" s="56">
        <v>44000</v>
      </c>
      <c r="Q103" s="56">
        <v>1.4</v>
      </c>
      <c r="R103" s="57">
        <f>P103*Q103</f>
        <v>61599.999999999993</v>
      </c>
    </row>
    <row r="104" spans="1:45" x14ac:dyDescent="0.25">
      <c r="A104" s="48" t="s">
        <v>792</v>
      </c>
    </row>
    <row r="105" spans="1:45" x14ac:dyDescent="0.25">
      <c r="A105" s="1" t="s">
        <v>0</v>
      </c>
      <c r="B105" s="1" t="s">
        <v>1</v>
      </c>
      <c r="C105" s="23" t="s">
        <v>2</v>
      </c>
      <c r="D105" s="13" t="s">
        <v>3</v>
      </c>
      <c r="E105" s="1" t="s">
        <v>4</v>
      </c>
      <c r="F105" s="1" t="s">
        <v>5</v>
      </c>
      <c r="G105" s="13" t="s">
        <v>6</v>
      </c>
      <c r="H105" s="13" t="s">
        <v>7</v>
      </c>
      <c r="I105" s="18" t="s">
        <v>8</v>
      </c>
      <c r="J105" s="13" t="s">
        <v>9</v>
      </c>
      <c r="K105" s="13" t="s">
        <v>10</v>
      </c>
      <c r="L105" s="13" t="s">
        <v>11</v>
      </c>
      <c r="M105" s="28" t="s">
        <v>12</v>
      </c>
      <c r="N105" s="32" t="s">
        <v>13</v>
      </c>
      <c r="O105" s="37" t="s">
        <v>785</v>
      </c>
      <c r="P105" s="37" t="s">
        <v>15</v>
      </c>
      <c r="Q105" s="13" t="s">
        <v>16</v>
      </c>
      <c r="R105" s="13" t="s">
        <v>17</v>
      </c>
      <c r="S105" s="42" t="s">
        <v>18</v>
      </c>
      <c r="T105" s="37" t="s">
        <v>19</v>
      </c>
      <c r="U105" s="3" t="s">
        <v>20</v>
      </c>
      <c r="V105" s="1" t="s">
        <v>21</v>
      </c>
      <c r="W105" s="1" t="s">
        <v>22</v>
      </c>
      <c r="X105" s="1" t="s">
        <v>23</v>
      </c>
      <c r="Y105" s="1" t="s">
        <v>24</v>
      </c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</row>
    <row r="106" spans="1:45" x14ac:dyDescent="0.25">
      <c r="A106" t="s">
        <v>449</v>
      </c>
      <c r="B106" t="s">
        <v>450</v>
      </c>
      <c r="C106" s="24">
        <v>44522</v>
      </c>
      <c r="D106" s="14">
        <v>272000</v>
      </c>
      <c r="E106" t="s">
        <v>27</v>
      </c>
      <c r="F106" t="s">
        <v>28</v>
      </c>
      <c r="G106" s="14">
        <v>272000</v>
      </c>
      <c r="H106" s="14">
        <v>122600</v>
      </c>
      <c r="I106" s="19">
        <f>H106/G106*100</f>
        <v>45.07352941176471</v>
      </c>
      <c r="J106" s="14">
        <v>245138</v>
      </c>
      <c r="K106" s="14">
        <f>G106-199138</f>
        <v>72862</v>
      </c>
      <c r="L106" s="14">
        <v>46000</v>
      </c>
      <c r="M106" s="29">
        <v>0</v>
      </c>
      <c r="N106" s="33">
        <v>0</v>
      </c>
      <c r="O106" s="38">
        <v>1</v>
      </c>
      <c r="P106" s="38">
        <v>0.56000000000000005</v>
      </c>
      <c r="Q106" s="14" t="e">
        <f>K106/M106</f>
        <v>#DIV/0!</v>
      </c>
      <c r="R106" s="14">
        <f>K106/O106</f>
        <v>72862</v>
      </c>
      <c r="S106" s="43">
        <f>K106/O106/43560</f>
        <v>1.6726813590449954</v>
      </c>
      <c r="T106" s="38">
        <v>0</v>
      </c>
      <c r="U106" s="5" t="s">
        <v>347</v>
      </c>
      <c r="V106" t="s">
        <v>451</v>
      </c>
      <c r="X106" t="s">
        <v>350</v>
      </c>
      <c r="Y106" s="6" t="s">
        <v>32</v>
      </c>
    </row>
    <row r="107" spans="1:45" x14ac:dyDescent="0.25">
      <c r="A107" t="s">
        <v>452</v>
      </c>
      <c r="B107" t="s">
        <v>453</v>
      </c>
      <c r="C107" s="24">
        <v>44356</v>
      </c>
      <c r="D107" s="14">
        <v>300000</v>
      </c>
      <c r="E107" t="s">
        <v>27</v>
      </c>
      <c r="F107" t="s">
        <v>28</v>
      </c>
      <c r="G107" s="14">
        <v>300000</v>
      </c>
      <c r="H107" s="14">
        <v>147600</v>
      </c>
      <c r="I107" s="19">
        <f>H107/G107*100</f>
        <v>49.2</v>
      </c>
      <c r="J107" s="14">
        <v>295176</v>
      </c>
      <c r="K107" s="14">
        <f>G107-249176</f>
        <v>50824</v>
      </c>
      <c r="L107" s="14">
        <v>46000</v>
      </c>
      <c r="M107" s="29">
        <v>0</v>
      </c>
      <c r="N107" s="33">
        <v>0</v>
      </c>
      <c r="O107" s="38">
        <v>1</v>
      </c>
      <c r="P107" s="38">
        <v>0</v>
      </c>
      <c r="Q107" s="14" t="e">
        <f>K107/M107</f>
        <v>#DIV/0!</v>
      </c>
      <c r="R107" s="14">
        <f>K107/O107</f>
        <v>50824</v>
      </c>
      <c r="S107" s="43">
        <f>K107/O107/43560</f>
        <v>1.1667584940312212</v>
      </c>
      <c r="T107" s="38">
        <v>0</v>
      </c>
      <c r="U107" s="5" t="s">
        <v>347</v>
      </c>
      <c r="V107" t="s">
        <v>454</v>
      </c>
      <c r="X107" t="s">
        <v>350</v>
      </c>
      <c r="Y107" s="6" t="s">
        <v>32</v>
      </c>
    </row>
    <row r="108" spans="1:45" x14ac:dyDescent="0.25">
      <c r="A108" t="s">
        <v>458</v>
      </c>
      <c r="B108" t="s">
        <v>459</v>
      </c>
      <c r="C108" s="24">
        <v>44839</v>
      </c>
      <c r="D108" s="14">
        <v>54900</v>
      </c>
      <c r="E108" t="s">
        <v>27</v>
      </c>
      <c r="F108" t="s">
        <v>28</v>
      </c>
      <c r="G108" s="14">
        <v>54900</v>
      </c>
      <c r="H108" s="14">
        <v>23000</v>
      </c>
      <c r="I108" s="19">
        <f>H108/G108*100</f>
        <v>41.894353369763202</v>
      </c>
      <c r="J108" s="14">
        <v>46000</v>
      </c>
      <c r="K108" s="14">
        <f>G108-0</f>
        <v>54900</v>
      </c>
      <c r="L108" s="14">
        <v>46000</v>
      </c>
      <c r="M108" s="29">
        <v>0</v>
      </c>
      <c r="N108" s="33">
        <v>0</v>
      </c>
      <c r="O108" s="38">
        <v>1</v>
      </c>
      <c r="P108" s="38">
        <v>0</v>
      </c>
      <c r="Q108" s="14" t="e">
        <f>K108/M108</f>
        <v>#DIV/0!</v>
      </c>
      <c r="R108" s="14">
        <f>K108/O108</f>
        <v>54900</v>
      </c>
      <c r="S108" s="43">
        <f>K108/O108/43560</f>
        <v>1.2603305785123966</v>
      </c>
      <c r="T108" s="38">
        <v>0</v>
      </c>
      <c r="U108" s="5" t="s">
        <v>347</v>
      </c>
      <c r="V108" t="s">
        <v>460</v>
      </c>
      <c r="X108" t="s">
        <v>350</v>
      </c>
      <c r="Y108" s="6" t="s">
        <v>32</v>
      </c>
    </row>
    <row r="109" spans="1:45" x14ac:dyDescent="0.25">
      <c r="A109" t="s">
        <v>461</v>
      </c>
      <c r="B109" t="s">
        <v>462</v>
      </c>
      <c r="C109" s="24">
        <v>44945</v>
      </c>
      <c r="D109" s="14">
        <v>325000</v>
      </c>
      <c r="E109" t="s">
        <v>27</v>
      </c>
      <c r="F109" t="s">
        <v>28</v>
      </c>
      <c r="G109" s="14">
        <v>325000</v>
      </c>
      <c r="H109" s="14">
        <v>166800</v>
      </c>
      <c r="I109" s="19">
        <f>H109/G109*100</f>
        <v>51.323076923076925</v>
      </c>
      <c r="J109" s="14">
        <v>333592</v>
      </c>
      <c r="K109" s="14">
        <f>G109-287592</f>
        <v>37408</v>
      </c>
      <c r="L109" s="14">
        <v>46000</v>
      </c>
      <c r="M109" s="29">
        <v>0</v>
      </c>
      <c r="N109" s="33">
        <v>0</v>
      </c>
      <c r="O109" s="38">
        <v>1</v>
      </c>
      <c r="P109" s="38">
        <v>0.47</v>
      </c>
      <c r="Q109" s="14" t="e">
        <f>K109/M109</f>
        <v>#DIV/0!</v>
      </c>
      <c r="R109" s="14">
        <f>K109/O109</f>
        <v>37408</v>
      </c>
      <c r="S109" s="43">
        <f>K109/O109/43560</f>
        <v>0.85876951331496787</v>
      </c>
      <c r="T109" s="38">
        <v>0</v>
      </c>
      <c r="U109" s="5" t="s">
        <v>347</v>
      </c>
      <c r="V109" t="s">
        <v>464</v>
      </c>
      <c r="X109" t="s">
        <v>350</v>
      </c>
      <c r="Y109" s="6" t="s">
        <v>32</v>
      </c>
    </row>
    <row r="110" spans="1:45" ht="15.75" thickBot="1" x14ac:dyDescent="0.3">
      <c r="A110" t="s">
        <v>461</v>
      </c>
      <c r="B110" t="s">
        <v>462</v>
      </c>
      <c r="C110" s="24">
        <v>44568</v>
      </c>
      <c r="D110" s="14">
        <v>313750</v>
      </c>
      <c r="E110" t="s">
        <v>27</v>
      </c>
      <c r="F110" t="s">
        <v>28</v>
      </c>
      <c r="G110" s="14">
        <v>313750</v>
      </c>
      <c r="H110" s="14">
        <v>166800</v>
      </c>
      <c r="I110" s="19">
        <f>H110/G110*100</f>
        <v>53.163346613545812</v>
      </c>
      <c r="J110" s="14">
        <v>333592</v>
      </c>
      <c r="K110" s="14">
        <f>G110-287592</f>
        <v>26158</v>
      </c>
      <c r="L110" s="14">
        <v>46000</v>
      </c>
      <c r="M110" s="29">
        <v>0</v>
      </c>
      <c r="N110" s="33">
        <v>0</v>
      </c>
      <c r="O110" s="38">
        <v>1</v>
      </c>
      <c r="P110" s="38">
        <v>0.47</v>
      </c>
      <c r="Q110" s="14" t="e">
        <f>K110/M110</f>
        <v>#DIV/0!</v>
      </c>
      <c r="R110" s="14">
        <f>K110/O110</f>
        <v>26158</v>
      </c>
      <c r="S110" s="43">
        <f>K110/O110/43560</f>
        <v>0.60050505050505054</v>
      </c>
      <c r="T110" s="38">
        <v>0</v>
      </c>
      <c r="U110" s="5" t="s">
        <v>347</v>
      </c>
      <c r="V110" t="s">
        <v>463</v>
      </c>
      <c r="X110" t="s">
        <v>350</v>
      </c>
      <c r="Y110" s="6" t="s">
        <v>32</v>
      </c>
    </row>
    <row r="111" spans="1:45" ht="15.75" thickTop="1" x14ac:dyDescent="0.25">
      <c r="A111" s="7"/>
      <c r="B111" s="7"/>
      <c r="C111" s="25" t="s">
        <v>769</v>
      </c>
      <c r="D111" s="15">
        <f>+SUM(D106:D110)</f>
        <v>1265650</v>
      </c>
      <c r="E111" s="7"/>
      <c r="F111" s="7"/>
      <c r="G111" s="15">
        <f>+SUM(G106:G110)</f>
        <v>1265650</v>
      </c>
      <c r="H111" s="15">
        <f>+SUM(H106:H110)</f>
        <v>626800</v>
      </c>
      <c r="I111" s="20"/>
      <c r="J111" s="15">
        <f>+SUM(J106:J110)</f>
        <v>1253498</v>
      </c>
      <c r="K111" s="15">
        <f>+SUM(K106:K110)</f>
        <v>242152</v>
      </c>
      <c r="L111" s="15">
        <f>+SUM(L106:L110)</f>
        <v>230000</v>
      </c>
      <c r="M111" s="30">
        <f>+SUM(M106:M110)</f>
        <v>0</v>
      </c>
      <c r="N111" s="34"/>
      <c r="O111" s="39">
        <f>+SUM(O106:O110)</f>
        <v>5</v>
      </c>
      <c r="P111" s="39">
        <f>+SUM(P106:P110)</f>
        <v>1.5</v>
      </c>
      <c r="Q111" s="15"/>
      <c r="R111" s="15"/>
      <c r="S111" s="44"/>
      <c r="T111" s="39"/>
      <c r="U111" s="8"/>
      <c r="V111" s="7"/>
      <c r="W111" s="7"/>
      <c r="X111" s="7"/>
      <c r="Y111" s="7"/>
    </row>
    <row r="112" spans="1:45" x14ac:dyDescent="0.25">
      <c r="A112" s="9"/>
      <c r="B112" s="9"/>
      <c r="C112" s="26"/>
      <c r="D112" s="16"/>
      <c r="E112" s="9"/>
      <c r="F112" s="9"/>
      <c r="G112" s="16"/>
      <c r="H112" s="16" t="s">
        <v>770</v>
      </c>
      <c r="I112" s="21">
        <f>H111/G111*100</f>
        <v>49.523960020542809</v>
      </c>
      <c r="J112" s="16"/>
      <c r="K112" s="16"/>
      <c r="L112" s="16" t="s">
        <v>771</v>
      </c>
      <c r="M112" s="31"/>
      <c r="N112" s="35"/>
      <c r="O112" s="40" t="s">
        <v>771</v>
      </c>
      <c r="P112" s="40"/>
      <c r="Q112" s="16"/>
      <c r="R112" s="16" t="s">
        <v>771</v>
      </c>
      <c r="S112" s="45"/>
      <c r="T112" s="40"/>
      <c r="U112" s="10"/>
      <c r="V112" s="9"/>
      <c r="W112" s="9"/>
      <c r="X112" s="9"/>
      <c r="Y112" s="9"/>
    </row>
    <row r="113" spans="1:45" ht="15.75" thickBot="1" x14ac:dyDescent="0.3">
      <c r="A113" s="11"/>
      <c r="B113" s="11"/>
      <c r="C113" s="27"/>
      <c r="D113" s="17"/>
      <c r="E113" s="11"/>
      <c r="F113" s="11"/>
      <c r="G113" s="17"/>
      <c r="H113" s="17" t="s">
        <v>772</v>
      </c>
      <c r="I113" s="22">
        <f>STDEV(I106:I110)</f>
        <v>4.6070738005222802</v>
      </c>
      <c r="J113" s="17"/>
      <c r="K113" s="17"/>
      <c r="L113" s="17" t="s">
        <v>773</v>
      </c>
      <c r="M113" s="47" t="e">
        <f>K111/M111</f>
        <v>#DIV/0!</v>
      </c>
      <c r="N113" s="36"/>
      <c r="O113" s="41" t="s">
        <v>786</v>
      </c>
      <c r="P113" s="41">
        <f>K111/O111</f>
        <v>48430.400000000001</v>
      </c>
      <c r="Q113" s="17"/>
      <c r="R113" s="17" t="s">
        <v>775</v>
      </c>
      <c r="S113" s="46">
        <f>K111/O111/43560</f>
        <v>1.1118089990817264</v>
      </c>
      <c r="T113" s="41"/>
      <c r="U113" s="12"/>
      <c r="V113" s="11"/>
      <c r="W113" s="11"/>
      <c r="X113" s="11"/>
      <c r="Y113" s="11"/>
    </row>
    <row r="114" spans="1:45" x14ac:dyDescent="0.25">
      <c r="O114" s="49" t="s">
        <v>783</v>
      </c>
      <c r="P114" s="53">
        <v>46000</v>
      </c>
      <c r="Q114" s="54"/>
      <c r="R114" s="55" t="s">
        <v>791</v>
      </c>
    </row>
    <row r="115" spans="1:45" ht="15.75" thickBot="1" x14ac:dyDescent="0.3">
      <c r="O115" s="51" t="s">
        <v>784</v>
      </c>
      <c r="P115" s="56">
        <v>48000</v>
      </c>
      <c r="Q115" s="56">
        <v>1.4</v>
      </c>
      <c r="R115" s="57">
        <f>P115*Q115</f>
        <v>67200</v>
      </c>
    </row>
    <row r="116" spans="1:45" x14ac:dyDescent="0.25">
      <c r="A116" s="48" t="s">
        <v>793</v>
      </c>
    </row>
    <row r="117" spans="1:45" x14ac:dyDescent="0.25">
      <c r="A117" s="1" t="s">
        <v>0</v>
      </c>
      <c r="B117" s="1" t="s">
        <v>1</v>
      </c>
      <c r="C117" s="23" t="s">
        <v>2</v>
      </c>
      <c r="D117" s="13" t="s">
        <v>3</v>
      </c>
      <c r="E117" s="1" t="s">
        <v>4</v>
      </c>
      <c r="F117" s="1" t="s">
        <v>5</v>
      </c>
      <c r="G117" s="13" t="s">
        <v>6</v>
      </c>
      <c r="H117" s="13" t="s">
        <v>7</v>
      </c>
      <c r="I117" s="18" t="s">
        <v>8</v>
      </c>
      <c r="J117" s="13" t="s">
        <v>9</v>
      </c>
      <c r="K117" s="13" t="s">
        <v>10</v>
      </c>
      <c r="L117" s="13" t="s">
        <v>11</v>
      </c>
      <c r="M117" s="28" t="s">
        <v>12</v>
      </c>
      <c r="N117" s="32" t="s">
        <v>13</v>
      </c>
      <c r="O117" s="37" t="s">
        <v>785</v>
      </c>
      <c r="P117" s="37" t="s">
        <v>15</v>
      </c>
      <c r="Q117" s="13" t="s">
        <v>16</v>
      </c>
      <c r="R117" s="13" t="s">
        <v>17</v>
      </c>
      <c r="S117" s="42" t="s">
        <v>18</v>
      </c>
      <c r="T117" s="37" t="s">
        <v>19</v>
      </c>
      <c r="U117" s="3" t="s">
        <v>20</v>
      </c>
      <c r="V117" s="1" t="s">
        <v>21</v>
      </c>
      <c r="W117" s="1" t="s">
        <v>22</v>
      </c>
      <c r="X117" s="1" t="s">
        <v>23</v>
      </c>
      <c r="Y117" s="1" t="s">
        <v>24</v>
      </c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</row>
    <row r="118" spans="1:45" x14ac:dyDescent="0.25">
      <c r="A118" t="s">
        <v>441</v>
      </c>
      <c r="B118" t="s">
        <v>442</v>
      </c>
      <c r="C118" s="24">
        <v>45148</v>
      </c>
      <c r="D118" s="14">
        <v>319200</v>
      </c>
      <c r="E118" t="s">
        <v>27</v>
      </c>
      <c r="F118" t="s">
        <v>28</v>
      </c>
      <c r="G118" s="14">
        <v>319200</v>
      </c>
      <c r="H118" s="14">
        <v>125200</v>
      </c>
      <c r="I118" s="19">
        <f>H118/G118*100</f>
        <v>39.223057644110277</v>
      </c>
      <c r="J118" s="14">
        <v>250452</v>
      </c>
      <c r="K118" s="14">
        <f>G118-189452</f>
        <v>129748</v>
      </c>
      <c r="L118" s="14">
        <v>61000</v>
      </c>
      <c r="M118" s="29">
        <v>0</v>
      </c>
      <c r="N118" s="33">
        <v>0</v>
      </c>
      <c r="O118" s="38">
        <v>1</v>
      </c>
      <c r="P118" s="38">
        <v>0.32</v>
      </c>
      <c r="Q118" s="14" t="e">
        <f>K118/M118</f>
        <v>#DIV/0!</v>
      </c>
      <c r="R118" s="14">
        <f>K118/O118</f>
        <v>129748</v>
      </c>
      <c r="S118" s="43">
        <f>K118/O118/43560</f>
        <v>2.9786042240587696</v>
      </c>
      <c r="T118" s="38">
        <v>0</v>
      </c>
      <c r="U118" s="5" t="s">
        <v>347</v>
      </c>
      <c r="V118" t="s">
        <v>445</v>
      </c>
      <c r="X118" t="s">
        <v>444</v>
      </c>
      <c r="Y118" s="6" t="s">
        <v>32</v>
      </c>
    </row>
    <row r="119" spans="1:45" x14ac:dyDescent="0.25">
      <c r="A119" t="s">
        <v>441</v>
      </c>
      <c r="B119" t="s">
        <v>442</v>
      </c>
      <c r="C119" s="24">
        <v>44750</v>
      </c>
      <c r="D119" s="14">
        <v>250300</v>
      </c>
      <c r="E119" t="s">
        <v>27</v>
      </c>
      <c r="F119" t="s">
        <v>28</v>
      </c>
      <c r="G119" s="14">
        <v>250300</v>
      </c>
      <c r="H119" s="14">
        <v>125200</v>
      </c>
      <c r="I119" s="19">
        <f>H119/G119*100</f>
        <v>50.019976028765477</v>
      </c>
      <c r="J119" s="14">
        <v>250452</v>
      </c>
      <c r="K119" s="14">
        <f>G119-189452</f>
        <v>60848</v>
      </c>
      <c r="L119" s="14">
        <v>61000</v>
      </c>
      <c r="M119" s="29">
        <v>0</v>
      </c>
      <c r="N119" s="33">
        <v>0</v>
      </c>
      <c r="O119" s="38">
        <v>1</v>
      </c>
      <c r="P119" s="38">
        <v>0.32</v>
      </c>
      <c r="Q119" s="14" t="e">
        <f>K119/M119</f>
        <v>#DIV/0!</v>
      </c>
      <c r="R119" s="14">
        <f>K119/O119</f>
        <v>60848</v>
      </c>
      <c r="S119" s="43">
        <f>K119/O119/43560</f>
        <v>1.3968778696051423</v>
      </c>
      <c r="T119" s="38">
        <v>0</v>
      </c>
      <c r="U119" s="5" t="s">
        <v>347</v>
      </c>
      <c r="V119" t="s">
        <v>443</v>
      </c>
      <c r="X119" t="s">
        <v>444</v>
      </c>
      <c r="Y119" s="6" t="s">
        <v>32</v>
      </c>
    </row>
    <row r="120" spans="1:45" ht="15.75" thickBot="1" x14ac:dyDescent="0.3">
      <c r="A120" t="s">
        <v>455</v>
      </c>
      <c r="B120" t="s">
        <v>456</v>
      </c>
      <c r="C120" s="24">
        <v>44756</v>
      </c>
      <c r="D120" s="14">
        <v>283000</v>
      </c>
      <c r="E120" t="s">
        <v>27</v>
      </c>
      <c r="F120" t="s">
        <v>28</v>
      </c>
      <c r="G120" s="14">
        <v>283000</v>
      </c>
      <c r="H120" s="14">
        <v>121100</v>
      </c>
      <c r="I120" s="19">
        <f>H120/G120*100</f>
        <v>42.791519434628981</v>
      </c>
      <c r="J120" s="14">
        <v>242248</v>
      </c>
      <c r="K120" s="14">
        <f>G120-181248</f>
        <v>101752</v>
      </c>
      <c r="L120" s="14">
        <v>61000</v>
      </c>
      <c r="M120" s="29">
        <v>0</v>
      </c>
      <c r="N120" s="33">
        <v>0</v>
      </c>
      <c r="O120" s="38">
        <v>2</v>
      </c>
      <c r="P120" s="38">
        <v>1.22</v>
      </c>
      <c r="Q120" s="14" t="e">
        <f>K120/M120</f>
        <v>#DIV/0!</v>
      </c>
      <c r="R120" s="14">
        <f>K120/O120</f>
        <v>50876</v>
      </c>
      <c r="S120" s="43">
        <f>K120/O120/43560</f>
        <v>1.1679522497704315</v>
      </c>
      <c r="T120" s="38">
        <v>0</v>
      </c>
      <c r="U120" s="5" t="s">
        <v>347</v>
      </c>
      <c r="V120" t="s">
        <v>457</v>
      </c>
      <c r="X120" t="s">
        <v>444</v>
      </c>
      <c r="Y120" s="6" t="s">
        <v>32</v>
      </c>
    </row>
    <row r="121" spans="1:45" ht="15.75" thickTop="1" x14ac:dyDescent="0.25">
      <c r="A121" s="7"/>
      <c r="B121" s="7"/>
      <c r="C121" s="25" t="s">
        <v>769</v>
      </c>
      <c r="D121" s="15">
        <f>+SUM(D118:D120)</f>
        <v>852500</v>
      </c>
      <c r="E121" s="7"/>
      <c r="F121" s="7"/>
      <c r="G121" s="15">
        <f>+SUM(G118:G120)</f>
        <v>852500</v>
      </c>
      <c r="H121" s="15">
        <f>+SUM(H118:H120)</f>
        <v>371500</v>
      </c>
      <c r="I121" s="20"/>
      <c r="J121" s="15">
        <f>+SUM(J118:J120)</f>
        <v>743152</v>
      </c>
      <c r="K121" s="15">
        <f>+SUM(K118:K120)</f>
        <v>292348</v>
      </c>
      <c r="L121" s="15">
        <f>+SUM(L118:L120)</f>
        <v>183000</v>
      </c>
      <c r="M121" s="30">
        <f>+SUM(M118:M120)</f>
        <v>0</v>
      </c>
      <c r="N121" s="34"/>
      <c r="O121" s="39">
        <f>+SUM(O118:O120)</f>
        <v>4</v>
      </c>
      <c r="P121" s="39">
        <f>+SUM(P118:P120)</f>
        <v>1.8599999999999999</v>
      </c>
      <c r="Q121" s="15"/>
      <c r="R121" s="15"/>
      <c r="S121" s="44"/>
      <c r="T121" s="39"/>
      <c r="U121" s="8"/>
      <c r="V121" s="7"/>
      <c r="W121" s="7"/>
      <c r="X121" s="7"/>
      <c r="Y121" s="7"/>
    </row>
    <row r="122" spans="1:45" x14ac:dyDescent="0.25">
      <c r="A122" s="9"/>
      <c r="B122" s="9"/>
      <c r="C122" s="26"/>
      <c r="D122" s="16"/>
      <c r="E122" s="9"/>
      <c r="F122" s="9"/>
      <c r="G122" s="16"/>
      <c r="H122" s="16" t="s">
        <v>770</v>
      </c>
      <c r="I122" s="21">
        <f>H121/G121*100</f>
        <v>43.577712609970675</v>
      </c>
      <c r="J122" s="16"/>
      <c r="K122" s="16"/>
      <c r="L122" s="16" t="s">
        <v>771</v>
      </c>
      <c r="M122" s="31"/>
      <c r="N122" s="35"/>
      <c r="O122" s="40" t="s">
        <v>771</v>
      </c>
      <c r="P122" s="40"/>
      <c r="Q122" s="16"/>
      <c r="R122" s="16" t="s">
        <v>771</v>
      </c>
      <c r="S122" s="45"/>
      <c r="T122" s="40"/>
      <c r="U122" s="10"/>
      <c r="V122" s="9"/>
      <c r="W122" s="9"/>
      <c r="X122" s="9"/>
      <c r="Y122" s="9"/>
    </row>
    <row r="123" spans="1:45" ht="15.75" thickBot="1" x14ac:dyDescent="0.3">
      <c r="A123" s="11"/>
      <c r="B123" s="11"/>
      <c r="C123" s="27"/>
      <c r="D123" s="17"/>
      <c r="E123" s="11"/>
      <c r="F123" s="11"/>
      <c r="G123" s="17"/>
      <c r="H123" s="17" t="s">
        <v>772</v>
      </c>
      <c r="I123" s="22">
        <f>STDEV(I118:I120)</f>
        <v>5.5008779736907423</v>
      </c>
      <c r="J123" s="17"/>
      <c r="K123" s="17"/>
      <c r="L123" s="17" t="s">
        <v>773</v>
      </c>
      <c r="M123" s="47" t="e">
        <f>K121/M121</f>
        <v>#DIV/0!</v>
      </c>
      <c r="N123" s="36"/>
      <c r="O123" s="41" t="s">
        <v>786</v>
      </c>
      <c r="P123" s="41">
        <f>K121/O121</f>
        <v>73087</v>
      </c>
      <c r="Q123" s="17"/>
      <c r="R123" s="17" t="s">
        <v>775</v>
      </c>
      <c r="S123" s="46">
        <f>K121/O121/43560</f>
        <v>1.6778466483011938</v>
      </c>
      <c r="T123" s="41"/>
      <c r="U123" s="12"/>
      <c r="V123" s="11"/>
      <c r="W123" s="11"/>
      <c r="X123" s="11"/>
      <c r="Y123" s="11"/>
    </row>
    <row r="124" spans="1:45" x14ac:dyDescent="0.25">
      <c r="O124" s="49" t="s">
        <v>795</v>
      </c>
      <c r="P124" s="53">
        <v>73000</v>
      </c>
      <c r="Q124" s="54"/>
      <c r="R124" s="55" t="s">
        <v>796</v>
      </c>
    </row>
    <row r="125" spans="1:45" ht="15.75" thickBot="1" x14ac:dyDescent="0.3">
      <c r="O125" s="51" t="s">
        <v>794</v>
      </c>
      <c r="P125" s="56">
        <v>48000</v>
      </c>
      <c r="Q125" s="56"/>
      <c r="R125" s="52">
        <f>((P124-P125)/P125*100)/100+1</f>
        <v>1.5208333333333335</v>
      </c>
      <c r="U125" s="58"/>
    </row>
    <row r="126" spans="1:45" x14ac:dyDescent="0.25">
      <c r="A126" s="48" t="s">
        <v>797</v>
      </c>
    </row>
    <row r="127" spans="1:45" x14ac:dyDescent="0.25">
      <c r="A127" s="1" t="s">
        <v>0</v>
      </c>
      <c r="B127" s="1" t="s">
        <v>1</v>
      </c>
      <c r="C127" s="23" t="s">
        <v>2</v>
      </c>
      <c r="D127" s="13" t="s">
        <v>3</v>
      </c>
      <c r="E127" s="1" t="s">
        <v>4</v>
      </c>
      <c r="F127" s="1" t="s">
        <v>5</v>
      </c>
      <c r="G127" s="13" t="s">
        <v>6</v>
      </c>
      <c r="H127" s="13" t="s">
        <v>7</v>
      </c>
      <c r="I127" s="18" t="s">
        <v>8</v>
      </c>
      <c r="J127" s="13" t="s">
        <v>9</v>
      </c>
      <c r="K127" s="13" t="s">
        <v>10</v>
      </c>
      <c r="L127" s="13" t="s">
        <v>11</v>
      </c>
      <c r="M127" s="28" t="s">
        <v>12</v>
      </c>
      <c r="N127" s="32" t="s">
        <v>13</v>
      </c>
      <c r="O127" s="37" t="s">
        <v>14</v>
      </c>
      <c r="P127" s="37" t="s">
        <v>15</v>
      </c>
      <c r="Q127" s="13" t="s">
        <v>16</v>
      </c>
      <c r="R127" s="13" t="s">
        <v>17</v>
      </c>
      <c r="S127" s="42" t="s">
        <v>18</v>
      </c>
      <c r="T127" s="37" t="s">
        <v>19</v>
      </c>
      <c r="U127" s="3" t="s">
        <v>20</v>
      </c>
      <c r="V127" s="1" t="s">
        <v>21</v>
      </c>
      <c r="W127" s="1" t="s">
        <v>22</v>
      </c>
      <c r="X127" s="1" t="s">
        <v>23</v>
      </c>
      <c r="Y127" s="1" t="s">
        <v>24</v>
      </c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</row>
    <row r="128" spans="1:45" x14ac:dyDescent="0.25">
      <c r="A128" t="s">
        <v>520</v>
      </c>
      <c r="B128" t="s">
        <v>521</v>
      </c>
      <c r="C128" s="24">
        <v>44358</v>
      </c>
      <c r="D128" s="14">
        <v>291760</v>
      </c>
      <c r="E128" t="s">
        <v>27</v>
      </c>
      <c r="F128" t="s">
        <v>28</v>
      </c>
      <c r="G128" s="14">
        <v>291760</v>
      </c>
      <c r="H128" s="14">
        <v>156900</v>
      </c>
      <c r="I128" s="19">
        <f t="shared" ref="I128:I144" si="16">H128/G128*100</f>
        <v>53.777077049629831</v>
      </c>
      <c r="J128" s="14">
        <v>313886</v>
      </c>
      <c r="K128" s="14">
        <f>G128-271886</f>
        <v>19874</v>
      </c>
      <c r="L128" s="14">
        <v>42000</v>
      </c>
      <c r="M128" s="29">
        <v>0</v>
      </c>
      <c r="N128" s="33">
        <v>0</v>
      </c>
      <c r="O128" s="38">
        <v>1</v>
      </c>
      <c r="P128" s="38">
        <v>0.751</v>
      </c>
      <c r="Q128" s="14" t="e">
        <f t="shared" ref="Q128:Q144" si="17">K128/M128</f>
        <v>#DIV/0!</v>
      </c>
      <c r="R128" s="14">
        <f t="shared" ref="R128:R144" si="18">K128/O128</f>
        <v>19874</v>
      </c>
      <c r="S128" s="43">
        <f t="shared" ref="S128:S144" si="19">K128/O128/43560</f>
        <v>0.45624426078971536</v>
      </c>
      <c r="T128" s="38">
        <v>0</v>
      </c>
      <c r="U128" s="5" t="s">
        <v>347</v>
      </c>
      <c r="V128" t="s">
        <v>522</v>
      </c>
      <c r="X128" t="s">
        <v>350</v>
      </c>
      <c r="Y128" s="6" t="s">
        <v>32</v>
      </c>
    </row>
    <row r="129" spans="1:25" x14ac:dyDescent="0.25">
      <c r="A129" t="s">
        <v>478</v>
      </c>
      <c r="B129" t="s">
        <v>479</v>
      </c>
      <c r="C129" s="24">
        <v>44421</v>
      </c>
      <c r="D129" s="14">
        <v>238500</v>
      </c>
      <c r="E129" t="s">
        <v>27</v>
      </c>
      <c r="F129" t="s">
        <v>28</v>
      </c>
      <c r="G129" s="14">
        <v>238500</v>
      </c>
      <c r="H129" s="14">
        <v>129400</v>
      </c>
      <c r="I129" s="19">
        <f t="shared" si="16"/>
        <v>54.255765199161424</v>
      </c>
      <c r="J129" s="14">
        <v>258742</v>
      </c>
      <c r="K129" s="14">
        <f>G129-216742</f>
        <v>21758</v>
      </c>
      <c r="L129" s="14">
        <v>42000</v>
      </c>
      <c r="M129" s="29">
        <v>0</v>
      </c>
      <c r="N129" s="33">
        <v>0</v>
      </c>
      <c r="O129" s="38">
        <v>1</v>
      </c>
      <c r="P129" s="38">
        <v>0</v>
      </c>
      <c r="Q129" s="14" t="e">
        <f t="shared" si="17"/>
        <v>#DIV/0!</v>
      </c>
      <c r="R129" s="14">
        <f t="shared" si="18"/>
        <v>21758</v>
      </c>
      <c r="S129" s="43">
        <f t="shared" si="19"/>
        <v>0.49949494949494949</v>
      </c>
      <c r="T129" s="38">
        <v>0</v>
      </c>
      <c r="U129" s="5" t="s">
        <v>347</v>
      </c>
      <c r="V129" t="s">
        <v>480</v>
      </c>
      <c r="X129" t="s">
        <v>350</v>
      </c>
      <c r="Y129" s="6" t="s">
        <v>32</v>
      </c>
    </row>
    <row r="130" spans="1:25" x14ac:dyDescent="0.25">
      <c r="A130" t="s">
        <v>487</v>
      </c>
      <c r="B130" t="s">
        <v>488</v>
      </c>
      <c r="C130" s="24">
        <v>44617</v>
      </c>
      <c r="D130" s="14">
        <v>290000</v>
      </c>
      <c r="E130" t="s">
        <v>27</v>
      </c>
      <c r="F130" t="s">
        <v>28</v>
      </c>
      <c r="G130" s="14">
        <v>290000</v>
      </c>
      <c r="H130" s="14">
        <v>154400</v>
      </c>
      <c r="I130" s="19">
        <f t="shared" si="16"/>
        <v>53.241379310344826</v>
      </c>
      <c r="J130" s="14">
        <v>308741</v>
      </c>
      <c r="K130" s="14">
        <f>G130-266741</f>
        <v>23259</v>
      </c>
      <c r="L130" s="14">
        <v>42000</v>
      </c>
      <c r="M130" s="29">
        <v>0</v>
      </c>
      <c r="N130" s="33">
        <v>0</v>
      </c>
      <c r="O130" s="38">
        <v>1</v>
      </c>
      <c r="P130" s="38">
        <v>0</v>
      </c>
      <c r="Q130" s="14" t="e">
        <f t="shared" si="17"/>
        <v>#DIV/0!</v>
      </c>
      <c r="R130" s="14">
        <f t="shared" si="18"/>
        <v>23259</v>
      </c>
      <c r="S130" s="43">
        <f t="shared" si="19"/>
        <v>0.53395316804407711</v>
      </c>
      <c r="T130" s="38">
        <v>0</v>
      </c>
      <c r="U130" s="5" t="s">
        <v>347</v>
      </c>
      <c r="V130" t="s">
        <v>489</v>
      </c>
      <c r="X130" t="s">
        <v>350</v>
      </c>
      <c r="Y130" s="6" t="s">
        <v>32</v>
      </c>
    </row>
    <row r="131" spans="1:25" x14ac:dyDescent="0.25">
      <c r="A131" t="s">
        <v>517</v>
      </c>
      <c r="B131" t="s">
        <v>518</v>
      </c>
      <c r="C131" s="24">
        <v>44533</v>
      </c>
      <c r="D131" s="14">
        <v>287000</v>
      </c>
      <c r="E131" t="s">
        <v>27</v>
      </c>
      <c r="F131" t="s">
        <v>28</v>
      </c>
      <c r="G131" s="14">
        <v>287000</v>
      </c>
      <c r="H131" s="14">
        <v>151500</v>
      </c>
      <c r="I131" s="19">
        <f t="shared" si="16"/>
        <v>52.78745644599303</v>
      </c>
      <c r="J131" s="14">
        <v>303057</v>
      </c>
      <c r="K131" s="14">
        <f>G131-261057</f>
        <v>25943</v>
      </c>
      <c r="L131" s="14">
        <v>42000</v>
      </c>
      <c r="M131" s="29">
        <v>0</v>
      </c>
      <c r="N131" s="33">
        <v>0</v>
      </c>
      <c r="O131" s="38">
        <v>1</v>
      </c>
      <c r="P131" s="38">
        <v>0</v>
      </c>
      <c r="Q131" s="14" t="e">
        <f t="shared" si="17"/>
        <v>#DIV/0!</v>
      </c>
      <c r="R131" s="14">
        <f t="shared" si="18"/>
        <v>25943</v>
      </c>
      <c r="S131" s="43">
        <f t="shared" si="19"/>
        <v>0.59556932966023879</v>
      </c>
      <c r="T131" s="38">
        <v>0</v>
      </c>
      <c r="U131" s="5" t="s">
        <v>347</v>
      </c>
      <c r="V131" t="s">
        <v>519</v>
      </c>
      <c r="X131" t="s">
        <v>350</v>
      </c>
      <c r="Y131" s="6" t="s">
        <v>32</v>
      </c>
    </row>
    <row r="132" spans="1:25" x14ac:dyDescent="0.25">
      <c r="A132" t="s">
        <v>484</v>
      </c>
      <c r="B132" t="s">
        <v>485</v>
      </c>
      <c r="C132" s="24">
        <v>45169</v>
      </c>
      <c r="D132" s="14">
        <v>289900</v>
      </c>
      <c r="E132" t="s">
        <v>27</v>
      </c>
      <c r="F132" t="s">
        <v>28</v>
      </c>
      <c r="G132" s="14">
        <v>289900</v>
      </c>
      <c r="H132" s="14">
        <v>152100</v>
      </c>
      <c r="I132" s="19">
        <f t="shared" si="16"/>
        <v>52.46636771300448</v>
      </c>
      <c r="J132" s="14">
        <v>304132</v>
      </c>
      <c r="K132" s="14">
        <f>G132-262132</f>
        <v>27768</v>
      </c>
      <c r="L132" s="14">
        <v>42000</v>
      </c>
      <c r="M132" s="29">
        <v>0</v>
      </c>
      <c r="N132" s="33">
        <v>0</v>
      </c>
      <c r="O132" s="38">
        <v>1</v>
      </c>
      <c r="P132" s="38">
        <v>0</v>
      </c>
      <c r="Q132" s="14" t="e">
        <f t="shared" si="17"/>
        <v>#DIV/0!</v>
      </c>
      <c r="R132" s="14">
        <f t="shared" si="18"/>
        <v>27768</v>
      </c>
      <c r="S132" s="43">
        <f t="shared" si="19"/>
        <v>0.63746556473829197</v>
      </c>
      <c r="T132" s="38">
        <v>0</v>
      </c>
      <c r="U132" s="5" t="s">
        <v>347</v>
      </c>
      <c r="V132" t="s">
        <v>486</v>
      </c>
      <c r="X132" t="s">
        <v>350</v>
      </c>
      <c r="Y132" s="6" t="s">
        <v>32</v>
      </c>
    </row>
    <row r="133" spans="1:25" x14ac:dyDescent="0.25">
      <c r="A133" t="s">
        <v>465</v>
      </c>
      <c r="B133" t="s">
        <v>466</v>
      </c>
      <c r="C133" s="24">
        <v>44419</v>
      </c>
      <c r="D133" s="14">
        <v>225000</v>
      </c>
      <c r="E133" t="s">
        <v>27</v>
      </c>
      <c r="F133" t="s">
        <v>28</v>
      </c>
      <c r="G133" s="14">
        <v>225000</v>
      </c>
      <c r="H133" s="14">
        <v>118800</v>
      </c>
      <c r="I133" s="19">
        <f t="shared" si="16"/>
        <v>52.800000000000004</v>
      </c>
      <c r="J133" s="14">
        <v>237579</v>
      </c>
      <c r="K133" s="14">
        <f>G133-195579</f>
        <v>29421</v>
      </c>
      <c r="L133" s="14">
        <v>42000</v>
      </c>
      <c r="M133" s="29">
        <v>0</v>
      </c>
      <c r="N133" s="33">
        <v>0</v>
      </c>
      <c r="O133" s="38">
        <v>1</v>
      </c>
      <c r="P133" s="38">
        <v>0.27</v>
      </c>
      <c r="Q133" s="14" t="e">
        <f t="shared" si="17"/>
        <v>#DIV/0!</v>
      </c>
      <c r="R133" s="14">
        <f t="shared" si="18"/>
        <v>29421</v>
      </c>
      <c r="S133" s="43">
        <f t="shared" si="19"/>
        <v>0.6754132231404959</v>
      </c>
      <c r="T133" s="38">
        <v>0</v>
      </c>
      <c r="U133" s="5" t="s">
        <v>347</v>
      </c>
      <c r="V133" t="s">
        <v>467</v>
      </c>
      <c r="X133" t="s">
        <v>350</v>
      </c>
      <c r="Y133" s="6" t="s">
        <v>32</v>
      </c>
    </row>
    <row r="134" spans="1:25" x14ac:dyDescent="0.25">
      <c r="A134" t="s">
        <v>505</v>
      </c>
      <c r="B134" t="s">
        <v>506</v>
      </c>
      <c r="C134" s="24">
        <v>44740</v>
      </c>
      <c r="D134" s="14">
        <v>320000</v>
      </c>
      <c r="E134" t="s">
        <v>27</v>
      </c>
      <c r="F134" t="s">
        <v>28</v>
      </c>
      <c r="G134" s="14">
        <v>320000</v>
      </c>
      <c r="H134" s="14">
        <v>166200</v>
      </c>
      <c r="I134" s="19">
        <f t="shared" si="16"/>
        <v>51.9375</v>
      </c>
      <c r="J134" s="14">
        <v>332486</v>
      </c>
      <c r="K134" s="14">
        <f>G134-290486</f>
        <v>29514</v>
      </c>
      <c r="L134" s="14">
        <v>42000</v>
      </c>
      <c r="M134" s="29">
        <v>0</v>
      </c>
      <c r="N134" s="33">
        <v>0</v>
      </c>
      <c r="O134" s="38">
        <v>1</v>
      </c>
      <c r="P134" s="38">
        <v>0</v>
      </c>
      <c r="Q134" s="14" t="e">
        <f t="shared" si="17"/>
        <v>#DIV/0!</v>
      </c>
      <c r="R134" s="14">
        <f t="shared" si="18"/>
        <v>29514</v>
      </c>
      <c r="S134" s="43">
        <f t="shared" si="19"/>
        <v>0.67754820936639115</v>
      </c>
      <c r="T134" s="38">
        <v>0</v>
      </c>
      <c r="U134" s="5" t="s">
        <v>347</v>
      </c>
      <c r="V134" t="s">
        <v>507</v>
      </c>
      <c r="X134" t="s">
        <v>350</v>
      </c>
      <c r="Y134" s="6" t="s">
        <v>32</v>
      </c>
    </row>
    <row r="135" spans="1:25" x14ac:dyDescent="0.25">
      <c r="A135" t="s">
        <v>493</v>
      </c>
      <c r="B135" t="s">
        <v>494</v>
      </c>
      <c r="C135" s="24">
        <v>45069</v>
      </c>
      <c r="D135" s="14">
        <v>300000</v>
      </c>
      <c r="E135" t="s">
        <v>27</v>
      </c>
      <c r="F135" t="s">
        <v>28</v>
      </c>
      <c r="G135" s="14">
        <v>300000</v>
      </c>
      <c r="H135" s="14">
        <v>153600</v>
      </c>
      <c r="I135" s="19">
        <f t="shared" si="16"/>
        <v>51.2</v>
      </c>
      <c r="J135" s="14">
        <v>307222</v>
      </c>
      <c r="K135" s="14">
        <f>G135-265222</f>
        <v>34778</v>
      </c>
      <c r="L135" s="14">
        <v>42000</v>
      </c>
      <c r="M135" s="29">
        <v>0</v>
      </c>
      <c r="N135" s="33">
        <v>0</v>
      </c>
      <c r="O135" s="38">
        <v>1</v>
      </c>
      <c r="P135" s="38">
        <v>0</v>
      </c>
      <c r="Q135" s="14" t="e">
        <f t="shared" si="17"/>
        <v>#DIV/0!</v>
      </c>
      <c r="R135" s="14">
        <f t="shared" si="18"/>
        <v>34778</v>
      </c>
      <c r="S135" s="43">
        <f t="shared" si="19"/>
        <v>0.79839302112029387</v>
      </c>
      <c r="T135" s="38">
        <v>0</v>
      </c>
      <c r="U135" s="5" t="s">
        <v>347</v>
      </c>
      <c r="V135" t="s">
        <v>495</v>
      </c>
      <c r="X135" t="s">
        <v>350</v>
      </c>
      <c r="Y135" s="6" t="s">
        <v>32</v>
      </c>
    </row>
    <row r="136" spans="1:25" x14ac:dyDescent="0.25">
      <c r="A136" t="s">
        <v>481</v>
      </c>
      <c r="B136" t="s">
        <v>482</v>
      </c>
      <c r="C136" s="24">
        <v>44316</v>
      </c>
      <c r="D136" s="14">
        <v>270000</v>
      </c>
      <c r="E136" t="s">
        <v>27</v>
      </c>
      <c r="F136" t="s">
        <v>28</v>
      </c>
      <c r="G136" s="14">
        <v>270000</v>
      </c>
      <c r="H136" s="14">
        <v>137000</v>
      </c>
      <c r="I136" s="19">
        <f t="shared" si="16"/>
        <v>50.74074074074074</v>
      </c>
      <c r="J136" s="14">
        <v>274099</v>
      </c>
      <c r="K136" s="14">
        <f>G136-232099</f>
        <v>37901</v>
      </c>
      <c r="L136" s="14">
        <v>42000</v>
      </c>
      <c r="M136" s="29">
        <v>0</v>
      </c>
      <c r="N136" s="33">
        <v>0</v>
      </c>
      <c r="O136" s="38">
        <v>1</v>
      </c>
      <c r="P136" s="38">
        <v>0</v>
      </c>
      <c r="Q136" s="14" t="e">
        <f t="shared" si="17"/>
        <v>#DIV/0!</v>
      </c>
      <c r="R136" s="14">
        <f t="shared" si="18"/>
        <v>37901</v>
      </c>
      <c r="S136" s="43">
        <f t="shared" si="19"/>
        <v>0.87008723599632687</v>
      </c>
      <c r="T136" s="38">
        <v>0</v>
      </c>
      <c r="U136" s="5" t="s">
        <v>347</v>
      </c>
      <c r="V136" t="s">
        <v>483</v>
      </c>
      <c r="X136" t="s">
        <v>350</v>
      </c>
      <c r="Y136" s="6" t="s">
        <v>32</v>
      </c>
    </row>
    <row r="137" spans="1:25" x14ac:dyDescent="0.25">
      <c r="A137" t="s">
        <v>508</v>
      </c>
      <c r="B137" t="s">
        <v>509</v>
      </c>
      <c r="C137" s="24">
        <v>44610</v>
      </c>
      <c r="D137" s="14">
        <v>236000</v>
      </c>
      <c r="E137" t="s">
        <v>27</v>
      </c>
      <c r="F137" t="s">
        <v>28</v>
      </c>
      <c r="G137" s="14">
        <v>236000</v>
      </c>
      <c r="H137" s="14">
        <v>119800</v>
      </c>
      <c r="I137" s="19">
        <f t="shared" si="16"/>
        <v>50.762711864406782</v>
      </c>
      <c r="J137" s="14">
        <v>239631</v>
      </c>
      <c r="K137" s="14">
        <f>G137-197631</f>
        <v>38369</v>
      </c>
      <c r="L137" s="14">
        <v>42000</v>
      </c>
      <c r="M137" s="29">
        <v>0</v>
      </c>
      <c r="N137" s="33">
        <v>0</v>
      </c>
      <c r="O137" s="38">
        <v>1</v>
      </c>
      <c r="P137" s="38">
        <v>0</v>
      </c>
      <c r="Q137" s="14" t="e">
        <f t="shared" si="17"/>
        <v>#DIV/0!</v>
      </c>
      <c r="R137" s="14">
        <f t="shared" si="18"/>
        <v>38369</v>
      </c>
      <c r="S137" s="43">
        <f t="shared" si="19"/>
        <v>0.88083103764921944</v>
      </c>
      <c r="T137" s="38">
        <v>0</v>
      </c>
      <c r="U137" s="5" t="s">
        <v>347</v>
      </c>
      <c r="V137" t="s">
        <v>510</v>
      </c>
      <c r="X137" t="s">
        <v>350</v>
      </c>
      <c r="Y137" s="6" t="s">
        <v>32</v>
      </c>
    </row>
    <row r="138" spans="1:25" x14ac:dyDescent="0.25">
      <c r="A138" t="s">
        <v>469</v>
      </c>
      <c r="B138" t="s">
        <v>470</v>
      </c>
      <c r="C138" s="24">
        <v>44558</v>
      </c>
      <c r="D138" s="14">
        <v>250000</v>
      </c>
      <c r="E138" t="s">
        <v>27</v>
      </c>
      <c r="F138" t="s">
        <v>28</v>
      </c>
      <c r="G138" s="14">
        <v>250000</v>
      </c>
      <c r="H138" s="14">
        <v>124200</v>
      </c>
      <c r="I138" s="19">
        <f t="shared" si="16"/>
        <v>49.68</v>
      </c>
      <c r="J138" s="14">
        <v>248310</v>
      </c>
      <c r="K138" s="14">
        <f>G138-206310</f>
        <v>43690</v>
      </c>
      <c r="L138" s="14">
        <v>42000</v>
      </c>
      <c r="M138" s="29">
        <v>0</v>
      </c>
      <c r="N138" s="33">
        <v>0</v>
      </c>
      <c r="O138" s="38">
        <v>1</v>
      </c>
      <c r="P138" s="38">
        <v>0</v>
      </c>
      <c r="Q138" s="14" t="e">
        <f t="shared" si="17"/>
        <v>#DIV/0!</v>
      </c>
      <c r="R138" s="14">
        <f t="shared" si="18"/>
        <v>43690</v>
      </c>
      <c r="S138" s="43">
        <f t="shared" si="19"/>
        <v>1.0029843893480257</v>
      </c>
      <c r="T138" s="38">
        <v>0</v>
      </c>
      <c r="U138" s="5" t="s">
        <v>347</v>
      </c>
      <c r="V138" t="s">
        <v>471</v>
      </c>
      <c r="X138" t="s">
        <v>350</v>
      </c>
      <c r="Y138" s="6" t="s">
        <v>32</v>
      </c>
    </row>
    <row r="139" spans="1:25" x14ac:dyDescent="0.25">
      <c r="A139" t="s">
        <v>465</v>
      </c>
      <c r="B139" t="s">
        <v>466</v>
      </c>
      <c r="C139" s="24">
        <v>45022</v>
      </c>
      <c r="D139" s="14">
        <v>243400</v>
      </c>
      <c r="E139" t="s">
        <v>27</v>
      </c>
      <c r="F139" t="s">
        <v>28</v>
      </c>
      <c r="G139" s="14">
        <v>243400</v>
      </c>
      <c r="H139" s="14">
        <v>118800</v>
      </c>
      <c r="I139" s="19">
        <f t="shared" si="16"/>
        <v>48.808545603944125</v>
      </c>
      <c r="J139" s="14">
        <v>237579</v>
      </c>
      <c r="K139" s="14">
        <f>G139-195579</f>
        <v>47821</v>
      </c>
      <c r="L139" s="14">
        <v>42000</v>
      </c>
      <c r="M139" s="29">
        <v>0</v>
      </c>
      <c r="N139" s="33">
        <v>0</v>
      </c>
      <c r="O139" s="38">
        <v>1</v>
      </c>
      <c r="P139" s="38">
        <v>0.27</v>
      </c>
      <c r="Q139" s="14" t="e">
        <f t="shared" si="17"/>
        <v>#DIV/0!</v>
      </c>
      <c r="R139" s="14">
        <f t="shared" si="18"/>
        <v>47821</v>
      </c>
      <c r="S139" s="43">
        <f t="shared" si="19"/>
        <v>1.0978191000918274</v>
      </c>
      <c r="T139" s="38">
        <v>0</v>
      </c>
      <c r="U139" s="5" t="s">
        <v>347</v>
      </c>
      <c r="V139" t="s">
        <v>468</v>
      </c>
      <c r="X139" t="s">
        <v>350</v>
      </c>
      <c r="Y139" s="6" t="s">
        <v>32</v>
      </c>
    </row>
    <row r="140" spans="1:25" x14ac:dyDescent="0.25">
      <c r="A140" t="s">
        <v>502</v>
      </c>
      <c r="B140" t="s">
        <v>503</v>
      </c>
      <c r="C140" s="24">
        <v>44991</v>
      </c>
      <c r="D140" s="14">
        <v>250000</v>
      </c>
      <c r="E140" t="s">
        <v>27</v>
      </c>
      <c r="F140" t="s">
        <v>28</v>
      </c>
      <c r="G140" s="14">
        <v>250000</v>
      </c>
      <c r="H140" s="14">
        <v>120000</v>
      </c>
      <c r="I140" s="19">
        <f t="shared" si="16"/>
        <v>48</v>
      </c>
      <c r="J140" s="14">
        <v>239991</v>
      </c>
      <c r="K140" s="14">
        <f>G140-197991</f>
        <v>52009</v>
      </c>
      <c r="L140" s="14">
        <v>42000</v>
      </c>
      <c r="M140" s="29">
        <v>0</v>
      </c>
      <c r="N140" s="33">
        <v>0</v>
      </c>
      <c r="O140" s="38">
        <v>1</v>
      </c>
      <c r="P140" s="38">
        <v>0</v>
      </c>
      <c r="Q140" s="14" t="e">
        <f t="shared" si="17"/>
        <v>#DIV/0!</v>
      </c>
      <c r="R140" s="14">
        <f t="shared" si="18"/>
        <v>52009</v>
      </c>
      <c r="S140" s="43">
        <f t="shared" si="19"/>
        <v>1.1939623507805326</v>
      </c>
      <c r="T140" s="38">
        <v>0</v>
      </c>
      <c r="U140" s="5" t="s">
        <v>347</v>
      </c>
      <c r="V140" t="s">
        <v>504</v>
      </c>
      <c r="X140" t="s">
        <v>350</v>
      </c>
      <c r="Y140" s="6" t="s">
        <v>32</v>
      </c>
    </row>
    <row r="141" spans="1:25" x14ac:dyDescent="0.25">
      <c r="A141" t="s">
        <v>490</v>
      </c>
      <c r="B141" t="s">
        <v>491</v>
      </c>
      <c r="C141" s="24">
        <v>44722</v>
      </c>
      <c r="D141" s="14">
        <v>271500</v>
      </c>
      <c r="E141" t="s">
        <v>27</v>
      </c>
      <c r="F141" t="s">
        <v>28</v>
      </c>
      <c r="G141" s="14">
        <v>271500</v>
      </c>
      <c r="H141" s="14">
        <v>123900</v>
      </c>
      <c r="I141" s="19">
        <f t="shared" si="16"/>
        <v>45.635359116022101</v>
      </c>
      <c r="J141" s="14">
        <v>247851</v>
      </c>
      <c r="K141" s="14">
        <f>G141-205851</f>
        <v>65649</v>
      </c>
      <c r="L141" s="14">
        <v>42000</v>
      </c>
      <c r="M141" s="29">
        <v>0</v>
      </c>
      <c r="N141" s="33">
        <v>0</v>
      </c>
      <c r="O141" s="38">
        <v>1</v>
      </c>
      <c r="P141" s="38">
        <v>0</v>
      </c>
      <c r="Q141" s="14" t="e">
        <f t="shared" si="17"/>
        <v>#DIV/0!</v>
      </c>
      <c r="R141" s="14">
        <f t="shared" si="18"/>
        <v>65649</v>
      </c>
      <c r="S141" s="43">
        <f t="shared" si="19"/>
        <v>1.5070936639118457</v>
      </c>
      <c r="T141" s="38">
        <v>0</v>
      </c>
      <c r="U141" s="5" t="s">
        <v>347</v>
      </c>
      <c r="V141" t="s">
        <v>492</v>
      </c>
      <c r="X141" t="s">
        <v>350</v>
      </c>
      <c r="Y141" s="6" t="s">
        <v>32</v>
      </c>
    </row>
    <row r="142" spans="1:25" x14ac:dyDescent="0.25">
      <c r="A142" t="s">
        <v>496</v>
      </c>
      <c r="B142" t="s">
        <v>497</v>
      </c>
      <c r="C142" s="24">
        <v>44847</v>
      </c>
      <c r="D142" s="14">
        <v>260000</v>
      </c>
      <c r="E142" t="s">
        <v>27</v>
      </c>
      <c r="F142" t="s">
        <v>28</v>
      </c>
      <c r="G142" s="14">
        <v>260000</v>
      </c>
      <c r="H142" s="14">
        <v>115300</v>
      </c>
      <c r="I142" s="19">
        <f t="shared" si="16"/>
        <v>44.346153846153847</v>
      </c>
      <c r="J142" s="14">
        <v>230576</v>
      </c>
      <c r="K142" s="14">
        <f>G142-188576</f>
        <v>71424</v>
      </c>
      <c r="L142" s="14">
        <v>42000</v>
      </c>
      <c r="M142" s="29">
        <v>0</v>
      </c>
      <c r="N142" s="33">
        <v>0</v>
      </c>
      <c r="O142" s="38">
        <v>1</v>
      </c>
      <c r="P142" s="38">
        <v>0</v>
      </c>
      <c r="Q142" s="14" t="e">
        <f t="shared" si="17"/>
        <v>#DIV/0!</v>
      </c>
      <c r="R142" s="14">
        <f t="shared" si="18"/>
        <v>71424</v>
      </c>
      <c r="S142" s="43">
        <f t="shared" si="19"/>
        <v>1.6396694214876033</v>
      </c>
      <c r="T142" s="38">
        <v>0</v>
      </c>
      <c r="U142" s="5" t="s">
        <v>347</v>
      </c>
      <c r="V142" t="s">
        <v>498</v>
      </c>
      <c r="X142" t="s">
        <v>350</v>
      </c>
      <c r="Y142" s="6" t="s">
        <v>32</v>
      </c>
    </row>
    <row r="143" spans="1:25" x14ac:dyDescent="0.25">
      <c r="A143" t="s">
        <v>523</v>
      </c>
      <c r="B143" t="s">
        <v>524</v>
      </c>
      <c r="C143" s="24">
        <v>44763</v>
      </c>
      <c r="D143" s="14">
        <v>130000</v>
      </c>
      <c r="E143" t="s">
        <v>27</v>
      </c>
      <c r="F143" t="s">
        <v>28</v>
      </c>
      <c r="G143" s="14">
        <v>130000</v>
      </c>
      <c r="H143" s="14">
        <v>28000</v>
      </c>
      <c r="I143" s="19">
        <f t="shared" si="16"/>
        <v>21.53846153846154</v>
      </c>
      <c r="J143" s="14">
        <v>56000</v>
      </c>
      <c r="K143" s="14">
        <f>G143-0</f>
        <v>130000</v>
      </c>
      <c r="L143" s="14">
        <v>56000</v>
      </c>
      <c r="M143" s="29">
        <v>0</v>
      </c>
      <c r="N143" s="33">
        <v>0</v>
      </c>
      <c r="O143" s="38">
        <v>1.5</v>
      </c>
      <c r="P143" s="38">
        <v>1.1559999999999999</v>
      </c>
      <c r="Q143" s="14" t="e">
        <f t="shared" si="17"/>
        <v>#DIV/0!</v>
      </c>
      <c r="R143" s="14">
        <f t="shared" si="18"/>
        <v>86666.666666666672</v>
      </c>
      <c r="S143" s="43">
        <f t="shared" si="19"/>
        <v>1.9895928986838078</v>
      </c>
      <c r="T143" s="38">
        <v>0</v>
      </c>
      <c r="U143" s="5" t="s">
        <v>347</v>
      </c>
      <c r="V143" t="s">
        <v>525</v>
      </c>
      <c r="X143" t="s">
        <v>444</v>
      </c>
      <c r="Y143" s="6" t="s">
        <v>113</v>
      </c>
    </row>
    <row r="144" spans="1:25" ht="15.75" thickBot="1" x14ac:dyDescent="0.3">
      <c r="A144" t="s">
        <v>472</v>
      </c>
      <c r="B144" t="s">
        <v>473</v>
      </c>
      <c r="C144" s="24">
        <v>44725</v>
      </c>
      <c r="D144" s="14">
        <v>296000</v>
      </c>
      <c r="E144" t="s">
        <v>27</v>
      </c>
      <c r="F144" t="s">
        <v>28</v>
      </c>
      <c r="G144" s="14">
        <v>296000</v>
      </c>
      <c r="H144" s="14">
        <v>125700</v>
      </c>
      <c r="I144" s="19">
        <f t="shared" si="16"/>
        <v>42.466216216216218</v>
      </c>
      <c r="J144" s="14">
        <v>251317</v>
      </c>
      <c r="K144" s="14">
        <f>G144-209317</f>
        <v>86683</v>
      </c>
      <c r="L144" s="14">
        <v>42000</v>
      </c>
      <c r="M144" s="29">
        <v>80</v>
      </c>
      <c r="N144" s="33">
        <v>150</v>
      </c>
      <c r="O144" s="38">
        <v>1</v>
      </c>
      <c r="P144" s="38">
        <v>0.27500000000000002</v>
      </c>
      <c r="Q144" s="14">
        <f t="shared" si="17"/>
        <v>1083.5374999999999</v>
      </c>
      <c r="R144" s="14">
        <f t="shared" si="18"/>
        <v>86683</v>
      </c>
      <c r="S144" s="43">
        <f t="shared" si="19"/>
        <v>1.9899678604224058</v>
      </c>
      <c r="T144" s="38">
        <v>80</v>
      </c>
      <c r="U144" s="5" t="s">
        <v>347</v>
      </c>
      <c r="V144" t="s">
        <v>474</v>
      </c>
      <c r="X144" t="s">
        <v>350</v>
      </c>
      <c r="Y144" s="6" t="s">
        <v>32</v>
      </c>
    </row>
    <row r="145" spans="1:45" ht="15.75" thickTop="1" x14ac:dyDescent="0.25">
      <c r="A145" s="7"/>
      <c r="B145" s="7"/>
      <c r="C145" s="25" t="s">
        <v>769</v>
      </c>
      <c r="D145" s="15">
        <f>+SUM(D128:D144)</f>
        <v>4449060</v>
      </c>
      <c r="E145" s="7"/>
      <c r="F145" s="7"/>
      <c r="G145" s="15">
        <f>+SUM(G128:G144)</f>
        <v>4449060</v>
      </c>
      <c r="H145" s="15">
        <f>+SUM(H128:H144)</f>
        <v>2195600</v>
      </c>
      <c r="I145" s="20"/>
      <c r="J145" s="15">
        <f>+SUM(J128:J144)</f>
        <v>4391199</v>
      </c>
      <c r="K145" s="15">
        <f>+SUM(K128:K144)</f>
        <v>785861</v>
      </c>
      <c r="L145" s="15">
        <f>+SUM(L128:L144)</f>
        <v>728000</v>
      </c>
      <c r="M145" s="30">
        <f>+SUM(M128:M144)</f>
        <v>80</v>
      </c>
      <c r="N145" s="34"/>
      <c r="O145" s="39">
        <f>+SUM(O128:O144)</f>
        <v>17.5</v>
      </c>
      <c r="P145" s="39">
        <f>+SUM(P128:P144)</f>
        <v>2.722</v>
      </c>
      <c r="Q145" s="15"/>
      <c r="R145" s="15"/>
      <c r="S145" s="44"/>
      <c r="T145" s="39"/>
      <c r="U145" s="8"/>
      <c r="V145" s="7"/>
      <c r="W145" s="7"/>
      <c r="X145" s="7"/>
      <c r="Y145" s="7"/>
    </row>
    <row r="146" spans="1:45" x14ac:dyDescent="0.25">
      <c r="A146" s="9"/>
      <c r="B146" s="9"/>
      <c r="C146" s="26"/>
      <c r="D146" s="16"/>
      <c r="E146" s="9"/>
      <c r="F146" s="9"/>
      <c r="G146" s="16"/>
      <c r="H146" s="16" t="s">
        <v>770</v>
      </c>
      <c r="I146" s="21">
        <f>H145/G145*100</f>
        <v>49.349750284329723</v>
      </c>
      <c r="J146" s="16"/>
      <c r="K146" s="16"/>
      <c r="L146" s="16" t="s">
        <v>771</v>
      </c>
      <c r="M146" s="31"/>
      <c r="N146" s="35"/>
      <c r="O146" s="40" t="s">
        <v>771</v>
      </c>
      <c r="P146" s="40"/>
      <c r="Q146" s="16"/>
      <c r="R146" s="16" t="s">
        <v>771</v>
      </c>
      <c r="S146" s="45"/>
      <c r="T146" s="40"/>
      <c r="U146" s="10"/>
      <c r="V146" s="9"/>
      <c r="W146" s="9"/>
      <c r="X146" s="9"/>
      <c r="Y146" s="9"/>
    </row>
    <row r="147" spans="1:45" ht="15.75" thickBot="1" x14ac:dyDescent="0.3">
      <c r="A147" s="11"/>
      <c r="B147" s="11"/>
      <c r="C147" s="27"/>
      <c r="D147" s="17"/>
      <c r="E147" s="11"/>
      <c r="F147" s="11"/>
      <c r="G147" s="17"/>
      <c r="H147" s="17" t="s">
        <v>772</v>
      </c>
      <c r="I147" s="22">
        <f>STDEV(I128:I144)</f>
        <v>7.72915633042739</v>
      </c>
      <c r="J147" s="17"/>
      <c r="K147" s="17"/>
      <c r="L147" s="17" t="s">
        <v>773</v>
      </c>
      <c r="M147" s="47">
        <f>K145/M145</f>
        <v>9823.2625000000007</v>
      </c>
      <c r="N147" s="36"/>
      <c r="O147" s="41" t="s">
        <v>774</v>
      </c>
      <c r="P147" s="41">
        <f>K145/O145</f>
        <v>44906.342857142859</v>
      </c>
      <c r="Q147" s="17"/>
      <c r="R147" s="17" t="s">
        <v>775</v>
      </c>
      <c r="S147" s="46">
        <f>K145/O145/43560</f>
        <v>1.0309077790895973</v>
      </c>
      <c r="T147" s="41"/>
      <c r="U147" s="12"/>
      <c r="V147" s="11"/>
      <c r="W147" s="11"/>
      <c r="X147" s="11"/>
      <c r="Y147" s="11"/>
    </row>
    <row r="148" spans="1:45" x14ac:dyDescent="0.25">
      <c r="O148" s="49" t="s">
        <v>783</v>
      </c>
      <c r="P148" s="53">
        <v>42000</v>
      </c>
      <c r="Q148" s="54"/>
      <c r="R148" s="55" t="s">
        <v>791</v>
      </c>
    </row>
    <row r="149" spans="1:45" ht="15.75" thickBot="1" x14ac:dyDescent="0.3">
      <c r="O149" s="51" t="s">
        <v>784</v>
      </c>
      <c r="P149" s="56">
        <v>45000</v>
      </c>
      <c r="Q149" s="56">
        <v>1.4</v>
      </c>
      <c r="R149" s="57">
        <f>P149*Q149</f>
        <v>62999.999999999993</v>
      </c>
    </row>
    <row r="150" spans="1:45" x14ac:dyDescent="0.25">
      <c r="A150" s="48" t="s">
        <v>799</v>
      </c>
    </row>
    <row r="151" spans="1:45" x14ac:dyDescent="0.25">
      <c r="A151" s="1" t="s">
        <v>0</v>
      </c>
      <c r="B151" s="1" t="s">
        <v>1</v>
      </c>
      <c r="C151" s="23" t="s">
        <v>2</v>
      </c>
      <c r="D151" s="13" t="s">
        <v>3</v>
      </c>
      <c r="E151" s="1" t="s">
        <v>4</v>
      </c>
      <c r="F151" s="1" t="s">
        <v>5</v>
      </c>
      <c r="G151" s="13" t="s">
        <v>6</v>
      </c>
      <c r="H151" s="13" t="s">
        <v>7</v>
      </c>
      <c r="I151" s="18" t="s">
        <v>8</v>
      </c>
      <c r="J151" s="13" t="s">
        <v>9</v>
      </c>
      <c r="K151" s="13" t="s">
        <v>10</v>
      </c>
      <c r="L151" s="13" t="s">
        <v>11</v>
      </c>
      <c r="M151" s="28" t="s">
        <v>12</v>
      </c>
      <c r="N151" s="32" t="s">
        <v>13</v>
      </c>
      <c r="O151" s="37" t="s">
        <v>14</v>
      </c>
      <c r="P151" s="37" t="s">
        <v>15</v>
      </c>
      <c r="Q151" s="13" t="s">
        <v>16</v>
      </c>
      <c r="R151" s="13" t="s">
        <v>17</v>
      </c>
      <c r="S151" s="42" t="s">
        <v>18</v>
      </c>
      <c r="T151" s="37" t="s">
        <v>19</v>
      </c>
      <c r="U151" s="3" t="s">
        <v>20</v>
      </c>
      <c r="V151" s="1" t="s">
        <v>21</v>
      </c>
      <c r="W151" s="1" t="s">
        <v>22</v>
      </c>
      <c r="X151" s="1" t="s">
        <v>23</v>
      </c>
      <c r="Y151" s="1" t="s">
        <v>24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</row>
    <row r="152" spans="1:45" x14ac:dyDescent="0.25">
      <c r="A152" t="s">
        <v>538</v>
      </c>
      <c r="B152" t="s">
        <v>539</v>
      </c>
      <c r="C152" s="24">
        <v>44981</v>
      </c>
      <c r="D152" s="14">
        <v>440000</v>
      </c>
      <c r="E152" t="s">
        <v>27</v>
      </c>
      <c r="F152" t="s">
        <v>28</v>
      </c>
      <c r="G152" s="14">
        <v>440000</v>
      </c>
      <c r="H152" s="14">
        <v>187600</v>
      </c>
      <c r="I152" s="19">
        <f>H152/G152*100</f>
        <v>42.63636363636364</v>
      </c>
      <c r="J152" s="14">
        <v>375118</v>
      </c>
      <c r="K152" s="14">
        <f>G152-333118</f>
        <v>106882</v>
      </c>
      <c r="L152" s="14">
        <v>42000</v>
      </c>
      <c r="M152" s="29">
        <v>0</v>
      </c>
      <c r="N152" s="33">
        <v>0</v>
      </c>
      <c r="O152" s="38">
        <v>1</v>
      </c>
      <c r="P152" s="38">
        <v>0</v>
      </c>
      <c r="Q152" s="14" t="e">
        <f>K152/M152</f>
        <v>#DIV/0!</v>
      </c>
      <c r="R152" s="14">
        <f>K152/O152</f>
        <v>106882</v>
      </c>
      <c r="S152" s="43">
        <f>K152/O152/43560</f>
        <v>2.4536730945821854</v>
      </c>
      <c r="T152" s="38">
        <v>0</v>
      </c>
      <c r="U152" s="5" t="s">
        <v>347</v>
      </c>
      <c r="V152" t="s">
        <v>540</v>
      </c>
      <c r="X152" t="s">
        <v>350</v>
      </c>
      <c r="Y152" s="6" t="s">
        <v>32</v>
      </c>
    </row>
    <row r="153" spans="1:45" x14ac:dyDescent="0.25">
      <c r="A153" t="s">
        <v>544</v>
      </c>
      <c r="B153" t="s">
        <v>545</v>
      </c>
      <c r="C153" s="24">
        <v>44365</v>
      </c>
      <c r="D153" s="14">
        <v>350000</v>
      </c>
      <c r="E153" t="s">
        <v>27</v>
      </c>
      <c r="F153" t="s">
        <v>28</v>
      </c>
      <c r="G153" s="14">
        <v>350000</v>
      </c>
      <c r="H153" s="14">
        <v>182200</v>
      </c>
      <c r="I153" s="19">
        <f>H153/G153*100</f>
        <v>52.057142857142857</v>
      </c>
      <c r="J153" s="14">
        <v>364306</v>
      </c>
      <c r="K153" s="14">
        <f>G153-322306</f>
        <v>27694</v>
      </c>
      <c r="L153" s="14">
        <v>42000</v>
      </c>
      <c r="M153" s="29">
        <v>0</v>
      </c>
      <c r="N153" s="33">
        <v>0</v>
      </c>
      <c r="O153" s="38">
        <v>1</v>
      </c>
      <c r="P153" s="38">
        <v>0</v>
      </c>
      <c r="Q153" s="14" t="e">
        <f>K153/M153</f>
        <v>#DIV/0!</v>
      </c>
      <c r="R153" s="14">
        <f>K153/O153</f>
        <v>27694</v>
      </c>
      <c r="S153" s="43">
        <f>K153/O153/43560</f>
        <v>0.63576675849403119</v>
      </c>
      <c r="T153" s="38">
        <v>0</v>
      </c>
      <c r="U153" s="5" t="s">
        <v>347</v>
      </c>
      <c r="V153" t="s">
        <v>546</v>
      </c>
      <c r="X153" t="s">
        <v>350</v>
      </c>
      <c r="Y153" s="6" t="s">
        <v>32</v>
      </c>
    </row>
    <row r="154" spans="1:45" ht="15.75" thickBot="1" x14ac:dyDescent="0.3">
      <c r="A154" t="s">
        <v>547</v>
      </c>
      <c r="B154" t="s">
        <v>548</v>
      </c>
      <c r="C154" s="24">
        <v>45106</v>
      </c>
      <c r="D154" s="14">
        <v>365000</v>
      </c>
      <c r="E154" t="s">
        <v>27</v>
      </c>
      <c r="F154" t="s">
        <v>28</v>
      </c>
      <c r="G154" s="14">
        <v>365000</v>
      </c>
      <c r="H154" s="14">
        <v>180100</v>
      </c>
      <c r="I154" s="19">
        <f>H154/G154*100</f>
        <v>49.342465753424655</v>
      </c>
      <c r="J154" s="14">
        <v>360230</v>
      </c>
      <c r="K154" s="14">
        <f>G154-318230</f>
        <v>46770</v>
      </c>
      <c r="L154" s="14">
        <v>42000</v>
      </c>
      <c r="M154" s="29">
        <v>0</v>
      </c>
      <c r="N154" s="33">
        <v>0</v>
      </c>
      <c r="O154" s="38">
        <v>1</v>
      </c>
      <c r="P154" s="38">
        <v>0</v>
      </c>
      <c r="Q154" s="14" t="e">
        <f>K154/M154</f>
        <v>#DIV/0!</v>
      </c>
      <c r="R154" s="14">
        <f>K154/O154</f>
        <v>46770</v>
      </c>
      <c r="S154" s="43">
        <f>K154/O154/43560</f>
        <v>1.0736914600550964</v>
      </c>
      <c r="T154" s="38">
        <v>0</v>
      </c>
      <c r="U154" s="5" t="s">
        <v>347</v>
      </c>
      <c r="V154" t="s">
        <v>549</v>
      </c>
      <c r="X154" t="s">
        <v>350</v>
      </c>
      <c r="Y154" s="6" t="s">
        <v>32</v>
      </c>
    </row>
    <row r="155" spans="1:45" ht="15.75" thickTop="1" x14ac:dyDescent="0.25">
      <c r="A155" s="7"/>
      <c r="B155" s="7"/>
      <c r="C155" s="25" t="s">
        <v>769</v>
      </c>
      <c r="D155" s="15">
        <f>+SUM(D152:D154)</f>
        <v>1155000</v>
      </c>
      <c r="E155" s="7"/>
      <c r="F155" s="7"/>
      <c r="G155" s="15">
        <f>+SUM(G152:G154)</f>
        <v>1155000</v>
      </c>
      <c r="H155" s="15">
        <f>+SUM(H152:H154)</f>
        <v>549900</v>
      </c>
      <c r="I155" s="20"/>
      <c r="J155" s="15">
        <f>+SUM(J152:J154)</f>
        <v>1099654</v>
      </c>
      <c r="K155" s="15">
        <f>+SUM(K152:K154)</f>
        <v>181346</v>
      </c>
      <c r="L155" s="15">
        <f>+SUM(L152:L154)</f>
        <v>126000</v>
      </c>
      <c r="M155" s="30">
        <f>+SUM(M152:M154)</f>
        <v>0</v>
      </c>
      <c r="N155" s="34"/>
      <c r="O155" s="39">
        <f>+SUM(O152:O154)</f>
        <v>3</v>
      </c>
      <c r="P155" s="39">
        <f>+SUM(P152:P154)</f>
        <v>0</v>
      </c>
      <c r="Q155" s="15"/>
      <c r="R155" s="15"/>
      <c r="S155" s="44"/>
      <c r="T155" s="39"/>
      <c r="U155" s="8"/>
      <c r="V155" s="7"/>
      <c r="W155" s="7"/>
      <c r="X155" s="7"/>
      <c r="Y155" s="7"/>
    </row>
    <row r="156" spans="1:45" x14ac:dyDescent="0.25">
      <c r="A156" s="9"/>
      <c r="B156" s="9"/>
      <c r="C156" s="26"/>
      <c r="D156" s="16"/>
      <c r="E156" s="9"/>
      <c r="F156" s="9"/>
      <c r="G156" s="16"/>
      <c r="H156" s="16" t="s">
        <v>770</v>
      </c>
      <c r="I156" s="21">
        <f>H155/G155*100</f>
        <v>47.61038961038961</v>
      </c>
      <c r="J156" s="16"/>
      <c r="K156" s="16"/>
      <c r="L156" s="16" t="s">
        <v>771</v>
      </c>
      <c r="M156" s="31"/>
      <c r="N156" s="35"/>
      <c r="O156" s="40" t="s">
        <v>771</v>
      </c>
      <c r="P156" s="40"/>
      <c r="Q156" s="16"/>
      <c r="R156" s="16" t="s">
        <v>771</v>
      </c>
      <c r="S156" s="45"/>
      <c r="T156" s="40"/>
      <c r="U156" s="10"/>
      <c r="V156" s="9"/>
      <c r="W156" s="9"/>
      <c r="X156" s="9"/>
      <c r="Y156" s="9"/>
    </row>
    <row r="157" spans="1:45" ht="15.75" thickBot="1" x14ac:dyDescent="0.3">
      <c r="A157" s="11"/>
      <c r="B157" s="11"/>
      <c r="C157" s="27"/>
      <c r="D157" s="17"/>
      <c r="E157" s="11"/>
      <c r="F157" s="11"/>
      <c r="G157" s="17"/>
      <c r="H157" s="17" t="s">
        <v>772</v>
      </c>
      <c r="I157" s="22">
        <f>STDEV(I152:I154)</f>
        <v>4.8492672729765323</v>
      </c>
      <c r="J157" s="17"/>
      <c r="K157" s="17"/>
      <c r="L157" s="17" t="s">
        <v>773</v>
      </c>
      <c r="M157" s="47" t="e">
        <f>K155/M155</f>
        <v>#DIV/0!</v>
      </c>
      <c r="N157" s="36"/>
      <c r="O157" s="41" t="s">
        <v>774</v>
      </c>
      <c r="P157" s="41">
        <f>K155/O155</f>
        <v>60448.666666666664</v>
      </c>
      <c r="Q157" s="17"/>
      <c r="R157" s="17" t="s">
        <v>775</v>
      </c>
      <c r="S157" s="46">
        <f>K155/O155/43560</f>
        <v>1.3877104377104377</v>
      </c>
      <c r="T157" s="41"/>
      <c r="U157" s="12"/>
      <c r="V157" s="11"/>
      <c r="W157" s="11"/>
      <c r="X157" s="11"/>
      <c r="Y157" s="11"/>
    </row>
    <row r="158" spans="1:45" x14ac:dyDescent="0.25">
      <c r="O158" s="49" t="s">
        <v>783</v>
      </c>
      <c r="P158" s="53">
        <v>42000</v>
      </c>
      <c r="Q158" s="54"/>
      <c r="R158" s="55" t="s">
        <v>791</v>
      </c>
    </row>
    <row r="159" spans="1:45" ht="15.75" thickBot="1" x14ac:dyDescent="0.3">
      <c r="O159" s="51" t="s">
        <v>784</v>
      </c>
      <c r="P159" s="56">
        <v>50000</v>
      </c>
      <c r="Q159" s="56">
        <v>1.4</v>
      </c>
      <c r="R159" s="57">
        <f>P159*Q159</f>
        <v>70000</v>
      </c>
    </row>
    <row r="160" spans="1:45" x14ac:dyDescent="0.25">
      <c r="O160" s="59"/>
      <c r="P160" s="59"/>
      <c r="Q160" s="59"/>
      <c r="R160" s="60"/>
    </row>
    <row r="161" spans="1:45" x14ac:dyDescent="0.25">
      <c r="A161" s="48" t="s">
        <v>798</v>
      </c>
    </row>
    <row r="162" spans="1:45" x14ac:dyDescent="0.25">
      <c r="A162" s="1" t="s">
        <v>0</v>
      </c>
      <c r="B162" s="1" t="s">
        <v>1</v>
      </c>
      <c r="C162" s="23" t="s">
        <v>2</v>
      </c>
      <c r="D162" s="13" t="s">
        <v>3</v>
      </c>
      <c r="E162" s="1" t="s">
        <v>4</v>
      </c>
      <c r="F162" s="1" t="s">
        <v>5</v>
      </c>
      <c r="G162" s="13" t="s">
        <v>6</v>
      </c>
      <c r="H162" s="13" t="s">
        <v>7</v>
      </c>
      <c r="I162" s="18" t="s">
        <v>8</v>
      </c>
      <c r="J162" s="13" t="s">
        <v>9</v>
      </c>
      <c r="K162" s="13" t="s">
        <v>10</v>
      </c>
      <c r="L162" s="13" t="s">
        <v>11</v>
      </c>
      <c r="M162" s="28" t="s">
        <v>12</v>
      </c>
      <c r="N162" s="32" t="s">
        <v>13</v>
      </c>
      <c r="O162" s="37" t="s">
        <v>14</v>
      </c>
      <c r="P162" s="37" t="s">
        <v>15</v>
      </c>
      <c r="Q162" s="13" t="s">
        <v>16</v>
      </c>
      <c r="R162" s="13" t="s">
        <v>17</v>
      </c>
      <c r="S162" s="42" t="s">
        <v>18</v>
      </c>
      <c r="T162" s="37" t="s">
        <v>19</v>
      </c>
      <c r="U162" s="3" t="s">
        <v>20</v>
      </c>
      <c r="V162" s="1" t="s">
        <v>21</v>
      </c>
      <c r="W162" s="1" t="s">
        <v>22</v>
      </c>
      <c r="X162" s="1" t="s">
        <v>23</v>
      </c>
      <c r="Y162" s="1" t="s">
        <v>24</v>
      </c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</row>
    <row r="163" spans="1:45" x14ac:dyDescent="0.25">
      <c r="A163" t="s">
        <v>541</v>
      </c>
      <c r="B163" t="s">
        <v>542</v>
      </c>
      <c r="C163" s="24">
        <v>44813</v>
      </c>
      <c r="D163" s="14">
        <v>457000</v>
      </c>
      <c r="E163" t="s">
        <v>27</v>
      </c>
      <c r="F163" t="s">
        <v>28</v>
      </c>
      <c r="G163" s="14">
        <v>457000</v>
      </c>
      <c r="H163" s="14">
        <v>211400</v>
      </c>
      <c r="I163" s="19">
        <f>H163/G163*100</f>
        <v>46.258205689277901</v>
      </c>
      <c r="J163" s="14">
        <v>422815</v>
      </c>
      <c r="K163" s="14">
        <f>G163-369615</f>
        <v>87385</v>
      </c>
      <c r="L163" s="14">
        <v>53200</v>
      </c>
      <c r="M163" s="29">
        <v>0</v>
      </c>
      <c r="N163" s="33">
        <v>0</v>
      </c>
      <c r="O163" s="38">
        <v>1</v>
      </c>
      <c r="P163" s="38">
        <v>0</v>
      </c>
      <c r="Q163" s="14" t="e">
        <f>K163/M163</f>
        <v>#DIV/0!</v>
      </c>
      <c r="R163" s="14">
        <f>K163/O163</f>
        <v>87385</v>
      </c>
      <c r="S163" s="43">
        <f>K163/O163/43560</f>
        <v>2.0060835629017446</v>
      </c>
      <c r="T163" s="38">
        <v>0</v>
      </c>
      <c r="U163" s="5" t="s">
        <v>347</v>
      </c>
      <c r="V163" t="s">
        <v>543</v>
      </c>
      <c r="X163" t="s">
        <v>444</v>
      </c>
      <c r="Y163" s="6" t="s">
        <v>32</v>
      </c>
    </row>
    <row r="164" spans="1:45" x14ac:dyDescent="0.25">
      <c r="A164" t="s">
        <v>550</v>
      </c>
      <c r="B164" t="s">
        <v>551</v>
      </c>
      <c r="C164" s="24">
        <v>44628</v>
      </c>
      <c r="D164" s="14">
        <v>100000</v>
      </c>
      <c r="E164" t="s">
        <v>27</v>
      </c>
      <c r="F164" t="s">
        <v>28</v>
      </c>
      <c r="G164" s="14">
        <v>100000</v>
      </c>
      <c r="H164" s="14">
        <v>28000</v>
      </c>
      <c r="I164" s="19">
        <f>H164/G164*100</f>
        <v>28.000000000000004</v>
      </c>
      <c r="J164" s="14">
        <v>56000</v>
      </c>
      <c r="K164" s="14">
        <f>G164-0</f>
        <v>100000</v>
      </c>
      <c r="L164" s="14">
        <v>56000</v>
      </c>
      <c r="M164" s="29">
        <v>0</v>
      </c>
      <c r="N164" s="33">
        <v>0</v>
      </c>
      <c r="O164" s="38">
        <v>1</v>
      </c>
      <c r="P164" s="38">
        <v>0</v>
      </c>
      <c r="Q164" s="14" t="e">
        <f>K164/M164</f>
        <v>#DIV/0!</v>
      </c>
      <c r="R164" s="14">
        <f>K164/O164</f>
        <v>100000</v>
      </c>
      <c r="S164" s="43">
        <f>K164/O164/43560</f>
        <v>2.2956841138659319</v>
      </c>
      <c r="T164" s="38">
        <v>0</v>
      </c>
      <c r="U164" s="5" t="s">
        <v>347</v>
      </c>
      <c r="V164" t="s">
        <v>552</v>
      </c>
      <c r="X164" t="s">
        <v>444</v>
      </c>
      <c r="Y164" s="6" t="s">
        <v>113</v>
      </c>
    </row>
    <row r="165" spans="1:45" ht="15.75" thickBot="1" x14ac:dyDescent="0.3">
      <c r="A165" t="s">
        <v>553</v>
      </c>
      <c r="B165" t="s">
        <v>554</v>
      </c>
      <c r="C165" s="24">
        <v>44410</v>
      </c>
      <c r="D165" s="14">
        <v>83000</v>
      </c>
      <c r="E165" t="s">
        <v>27</v>
      </c>
      <c r="F165" t="s">
        <v>28</v>
      </c>
      <c r="G165" s="14">
        <v>83000</v>
      </c>
      <c r="H165" s="14">
        <v>28000</v>
      </c>
      <c r="I165" s="19">
        <f>H165/G165*100</f>
        <v>33.734939759036145</v>
      </c>
      <c r="J165" s="14">
        <v>56000</v>
      </c>
      <c r="K165" s="14">
        <f>G165-0</f>
        <v>83000</v>
      </c>
      <c r="L165" s="14">
        <v>56000</v>
      </c>
      <c r="M165" s="29">
        <v>0</v>
      </c>
      <c r="N165" s="33">
        <v>0</v>
      </c>
      <c r="O165" s="38">
        <v>1</v>
      </c>
      <c r="P165" s="38">
        <v>0</v>
      </c>
      <c r="Q165" s="14" t="e">
        <f>K165/M165</f>
        <v>#DIV/0!</v>
      </c>
      <c r="R165" s="14">
        <f>K165/O165</f>
        <v>83000</v>
      </c>
      <c r="S165" s="43">
        <f>K165/O165/43560</f>
        <v>1.9054178145087235</v>
      </c>
      <c r="T165" s="38">
        <v>0</v>
      </c>
      <c r="U165" s="5" t="s">
        <v>347</v>
      </c>
      <c r="V165" t="s">
        <v>555</v>
      </c>
      <c r="X165" t="s">
        <v>444</v>
      </c>
      <c r="Y165" s="6" t="s">
        <v>32</v>
      </c>
    </row>
    <row r="166" spans="1:45" ht="15.75" thickTop="1" x14ac:dyDescent="0.25">
      <c r="A166" s="7"/>
      <c r="B166" s="7"/>
      <c r="C166" s="25" t="s">
        <v>769</v>
      </c>
      <c r="D166" s="15">
        <f>+SUM(D163:D165)</f>
        <v>640000</v>
      </c>
      <c r="E166" s="7"/>
      <c r="F166" s="7"/>
      <c r="G166" s="15">
        <f>+SUM(G163:G165)</f>
        <v>640000</v>
      </c>
      <c r="H166" s="15">
        <f>+SUM(H163:H165)</f>
        <v>267400</v>
      </c>
      <c r="I166" s="20"/>
      <c r="J166" s="15">
        <f>+SUM(J163:J165)</f>
        <v>534815</v>
      </c>
      <c r="K166" s="15">
        <f>+SUM(K163:K165)</f>
        <v>270385</v>
      </c>
      <c r="L166" s="15">
        <f>+SUM(L163:L165)</f>
        <v>165200</v>
      </c>
      <c r="M166" s="30">
        <f>+SUM(M163:M165)</f>
        <v>0</v>
      </c>
      <c r="N166" s="34"/>
      <c r="O166" s="39">
        <f>+SUM(O163:O165)</f>
        <v>3</v>
      </c>
      <c r="P166" s="39">
        <f>+SUM(P163:P165)</f>
        <v>0</v>
      </c>
      <c r="Q166" s="15"/>
      <c r="R166" s="15"/>
      <c r="S166" s="44"/>
      <c r="T166" s="39"/>
      <c r="U166" s="8"/>
      <c r="V166" s="7"/>
      <c r="W166" s="7"/>
      <c r="X166" s="7"/>
      <c r="Y166" s="7"/>
    </row>
    <row r="167" spans="1:45" x14ac:dyDescent="0.25">
      <c r="A167" s="9"/>
      <c r="B167" s="9"/>
      <c r="C167" s="26"/>
      <c r="D167" s="16"/>
      <c r="E167" s="9"/>
      <c r="F167" s="9"/>
      <c r="G167" s="16"/>
      <c r="H167" s="16" t="s">
        <v>770</v>
      </c>
      <c r="I167" s="21">
        <f>H166/G166*100</f>
        <v>41.78125</v>
      </c>
      <c r="J167" s="16"/>
      <c r="K167" s="16"/>
      <c r="L167" s="16" t="s">
        <v>771</v>
      </c>
      <c r="M167" s="31"/>
      <c r="N167" s="35"/>
      <c r="O167" s="40" t="s">
        <v>771</v>
      </c>
      <c r="P167" s="40"/>
      <c r="Q167" s="16"/>
      <c r="R167" s="16" t="s">
        <v>771</v>
      </c>
      <c r="S167" s="45"/>
      <c r="T167" s="40"/>
      <c r="U167" s="10"/>
      <c r="V167" s="9"/>
      <c r="W167" s="9"/>
      <c r="X167" s="9"/>
      <c r="Y167" s="9"/>
    </row>
    <row r="168" spans="1:45" ht="15.75" thickBot="1" x14ac:dyDescent="0.3">
      <c r="A168" s="11"/>
      <c r="B168" s="11"/>
      <c r="C168" s="27"/>
      <c r="D168" s="17"/>
      <c r="E168" s="11"/>
      <c r="F168" s="11"/>
      <c r="G168" s="17"/>
      <c r="H168" s="17" t="s">
        <v>772</v>
      </c>
      <c r="I168" s="22">
        <f>STDEV(I163:I165)</f>
        <v>9.3370569827195364</v>
      </c>
      <c r="J168" s="17"/>
      <c r="K168" s="17"/>
      <c r="L168" s="17" t="s">
        <v>773</v>
      </c>
      <c r="M168" s="47" t="e">
        <f>K166/M166</f>
        <v>#DIV/0!</v>
      </c>
      <c r="N168" s="36"/>
      <c r="O168" s="41" t="s">
        <v>774</v>
      </c>
      <c r="P168" s="41">
        <f>K166/O166</f>
        <v>90128.333333333328</v>
      </c>
      <c r="Q168" s="17"/>
      <c r="R168" s="17" t="s">
        <v>775</v>
      </c>
      <c r="S168" s="46">
        <f>K166/O166/43560</f>
        <v>2.0690618304254667</v>
      </c>
      <c r="T168" s="41"/>
      <c r="U168" s="12"/>
      <c r="V168" s="11"/>
      <c r="W168" s="11"/>
      <c r="X168" s="11"/>
      <c r="Y168" s="11"/>
    </row>
    <row r="169" spans="1:45" x14ac:dyDescent="0.25">
      <c r="O169" s="49" t="s">
        <v>795</v>
      </c>
      <c r="P169" s="53">
        <v>90000</v>
      </c>
      <c r="Q169" s="54"/>
      <c r="R169" s="55" t="s">
        <v>796</v>
      </c>
    </row>
    <row r="170" spans="1:45" ht="15.75" thickBot="1" x14ac:dyDescent="0.3">
      <c r="O170" s="51" t="s">
        <v>794</v>
      </c>
      <c r="P170" s="56">
        <v>50000</v>
      </c>
      <c r="Q170" s="56"/>
      <c r="R170" s="52">
        <f>((P169-P170)/P170*100)/100+1</f>
        <v>1.8</v>
      </c>
    </row>
    <row r="171" spans="1:45" x14ac:dyDescent="0.25">
      <c r="O171" s="59"/>
      <c r="P171" s="59"/>
      <c r="Q171" s="59"/>
      <c r="R171" s="60"/>
    </row>
    <row r="172" spans="1:45" x14ac:dyDescent="0.25">
      <c r="A172" s="48" t="s">
        <v>837</v>
      </c>
      <c r="O172" s="59"/>
      <c r="P172" s="59"/>
      <c r="Q172" s="59"/>
      <c r="R172" s="60"/>
    </row>
    <row r="173" spans="1:45" x14ac:dyDescent="0.25">
      <c r="A173" s="1" t="s">
        <v>0</v>
      </c>
      <c r="B173" s="1" t="s">
        <v>1</v>
      </c>
      <c r="C173" s="23" t="s">
        <v>2</v>
      </c>
      <c r="D173" s="13" t="s">
        <v>3</v>
      </c>
      <c r="E173" s="1" t="s">
        <v>4</v>
      </c>
      <c r="F173" s="1" t="s">
        <v>5</v>
      </c>
      <c r="G173" s="13" t="s">
        <v>6</v>
      </c>
      <c r="H173" s="13" t="s">
        <v>7</v>
      </c>
      <c r="I173" s="18" t="s">
        <v>8</v>
      </c>
      <c r="J173" s="13" t="s">
        <v>9</v>
      </c>
      <c r="K173" s="13" t="s">
        <v>10</v>
      </c>
      <c r="L173" s="13" t="s">
        <v>11</v>
      </c>
      <c r="M173" s="28" t="s">
        <v>12</v>
      </c>
      <c r="N173" s="32" t="s">
        <v>13</v>
      </c>
      <c r="O173" s="37" t="s">
        <v>785</v>
      </c>
      <c r="P173" s="37" t="s">
        <v>15</v>
      </c>
      <c r="Q173" s="13" t="s">
        <v>16</v>
      </c>
      <c r="R173" s="13" t="s">
        <v>17</v>
      </c>
      <c r="S173" s="42" t="s">
        <v>18</v>
      </c>
      <c r="T173" s="37" t="s">
        <v>19</v>
      </c>
      <c r="U173" s="3" t="s">
        <v>20</v>
      </c>
      <c r="V173" s="1" t="s">
        <v>21</v>
      </c>
      <c r="W173" s="1" t="s">
        <v>22</v>
      </c>
      <c r="X173" s="1" t="s">
        <v>23</v>
      </c>
      <c r="Y173" s="1" t="s">
        <v>24</v>
      </c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</row>
    <row r="174" spans="1:45" x14ac:dyDescent="0.25">
      <c r="A174" t="s">
        <v>550</v>
      </c>
      <c r="B174" t="s">
        <v>551</v>
      </c>
      <c r="C174" s="24">
        <v>44628</v>
      </c>
      <c r="D174" s="14">
        <v>100000</v>
      </c>
      <c r="E174" t="s">
        <v>27</v>
      </c>
      <c r="F174" t="s">
        <v>28</v>
      </c>
      <c r="G174" s="14">
        <v>100000</v>
      </c>
      <c r="H174" s="14">
        <v>28000</v>
      </c>
      <c r="I174" s="19">
        <f>H174/G174*100</f>
        <v>28.000000000000004</v>
      </c>
      <c r="J174" s="14">
        <v>56000</v>
      </c>
      <c r="K174" s="14">
        <f>G174-0</f>
        <v>100000</v>
      </c>
      <c r="L174" s="14">
        <v>56000</v>
      </c>
      <c r="M174" s="29">
        <v>0</v>
      </c>
      <c r="N174" s="33">
        <v>0</v>
      </c>
      <c r="O174" s="38">
        <v>1</v>
      </c>
      <c r="P174" s="38">
        <v>0</v>
      </c>
      <c r="Q174" s="14" t="e">
        <f>K174/M174</f>
        <v>#DIV/0!</v>
      </c>
      <c r="R174" s="14">
        <f>K174/O174</f>
        <v>100000</v>
      </c>
      <c r="S174" s="43">
        <f>K174/O174/43560</f>
        <v>2.2956841138659319</v>
      </c>
      <c r="T174" s="38">
        <v>0</v>
      </c>
      <c r="U174" s="5" t="s">
        <v>347</v>
      </c>
      <c r="V174" t="s">
        <v>552</v>
      </c>
      <c r="X174" t="s">
        <v>444</v>
      </c>
      <c r="Y174" s="6" t="s">
        <v>113</v>
      </c>
    </row>
    <row r="175" spans="1:45" ht="15.75" thickBot="1" x14ac:dyDescent="0.3">
      <c r="A175" t="s">
        <v>553</v>
      </c>
      <c r="B175" t="s">
        <v>554</v>
      </c>
      <c r="C175" s="24">
        <v>44410</v>
      </c>
      <c r="D175" s="14">
        <v>83000</v>
      </c>
      <c r="E175" t="s">
        <v>27</v>
      </c>
      <c r="F175" t="s">
        <v>28</v>
      </c>
      <c r="G175" s="14">
        <v>83000</v>
      </c>
      <c r="H175" s="14">
        <v>28000</v>
      </c>
      <c r="I175" s="19">
        <f>H175/G175*100</f>
        <v>33.734939759036145</v>
      </c>
      <c r="J175" s="14">
        <v>56000</v>
      </c>
      <c r="K175" s="14">
        <f>G175-0</f>
        <v>83000</v>
      </c>
      <c r="L175" s="14">
        <v>56000</v>
      </c>
      <c r="M175" s="29">
        <v>0</v>
      </c>
      <c r="N175" s="33">
        <v>0</v>
      </c>
      <c r="O175" s="38">
        <v>1</v>
      </c>
      <c r="P175" s="38">
        <v>0</v>
      </c>
      <c r="Q175" s="14" t="e">
        <f>K175/M175</f>
        <v>#DIV/0!</v>
      </c>
      <c r="R175" s="14">
        <f>K175/O175</f>
        <v>83000</v>
      </c>
      <c r="S175" s="43">
        <f>K175/O175/43560</f>
        <v>1.9054178145087235</v>
      </c>
      <c r="T175" s="38">
        <v>0</v>
      </c>
      <c r="U175" s="5" t="s">
        <v>347</v>
      </c>
      <c r="V175" t="s">
        <v>555</v>
      </c>
      <c r="X175" t="s">
        <v>444</v>
      </c>
      <c r="Y175" s="6" t="s">
        <v>32</v>
      </c>
    </row>
    <row r="176" spans="1:45" ht="15.75" thickTop="1" x14ac:dyDescent="0.25">
      <c r="A176" s="7"/>
      <c r="B176" s="7"/>
      <c r="C176" s="25" t="s">
        <v>769</v>
      </c>
      <c r="D176" s="15">
        <f>+SUM(D174:D175)</f>
        <v>183000</v>
      </c>
      <c r="E176" s="7"/>
      <c r="F176" s="7"/>
      <c r="G176" s="15">
        <f>+SUM(G174:G175)</f>
        <v>183000</v>
      </c>
      <c r="H176" s="15">
        <f>+SUM(H174:H175)</f>
        <v>56000</v>
      </c>
      <c r="I176" s="20"/>
      <c r="J176" s="15">
        <f>+SUM(J174:J175)</f>
        <v>112000</v>
      </c>
      <c r="K176" s="15">
        <f>+SUM(K174:K175)</f>
        <v>183000</v>
      </c>
      <c r="L176" s="15">
        <f>+SUM(L174:L175)</f>
        <v>112000</v>
      </c>
      <c r="M176" s="30">
        <f>+SUM(M174:M175)</f>
        <v>0</v>
      </c>
      <c r="N176" s="34"/>
      <c r="O176" s="39">
        <f>+SUM(O174:O175)</f>
        <v>2</v>
      </c>
      <c r="P176" s="39">
        <f>+SUM(P174:P175)</f>
        <v>0</v>
      </c>
      <c r="Q176" s="15"/>
      <c r="R176" s="15"/>
      <c r="S176" s="44"/>
      <c r="T176" s="39"/>
      <c r="U176" s="8"/>
      <c r="V176" s="7"/>
      <c r="W176" s="7"/>
      <c r="X176" s="7"/>
      <c r="Y176" s="7"/>
    </row>
    <row r="177" spans="1:45" x14ac:dyDescent="0.25">
      <c r="A177" s="9"/>
      <c r="B177" s="9"/>
      <c r="C177" s="26"/>
      <c r="D177" s="16"/>
      <c r="E177" s="9"/>
      <c r="F177" s="9"/>
      <c r="G177" s="16"/>
      <c r="H177" s="16" t="s">
        <v>770</v>
      </c>
      <c r="I177" s="21">
        <f>H176/G176*100</f>
        <v>30.601092896174865</v>
      </c>
      <c r="J177" s="16"/>
      <c r="K177" s="16"/>
      <c r="L177" s="16" t="s">
        <v>771</v>
      </c>
      <c r="M177" s="31"/>
      <c r="N177" s="35"/>
      <c r="O177" s="40" t="s">
        <v>771</v>
      </c>
      <c r="P177" s="40"/>
      <c r="Q177" s="16"/>
      <c r="R177" s="16" t="s">
        <v>771</v>
      </c>
      <c r="S177" s="45"/>
      <c r="T177" s="40"/>
      <c r="U177" s="10"/>
      <c r="V177" s="9"/>
      <c r="W177" s="9"/>
      <c r="X177" s="9"/>
      <c r="Y177" s="9"/>
    </row>
    <row r="178" spans="1:45" ht="15.75" thickBot="1" x14ac:dyDescent="0.3">
      <c r="A178" s="11"/>
      <c r="B178" s="11"/>
      <c r="C178" s="27"/>
      <c r="D178" s="17"/>
      <c r="E178" s="11"/>
      <c r="F178" s="11"/>
      <c r="G178" s="17"/>
      <c r="H178" s="17" t="s">
        <v>772</v>
      </c>
      <c r="I178" s="22">
        <f>STDEV(I174:I175)</f>
        <v>4.0552147933108005</v>
      </c>
      <c r="J178" s="17"/>
      <c r="K178" s="17"/>
      <c r="L178" s="17" t="s">
        <v>773</v>
      </c>
      <c r="M178" s="47" t="e">
        <f>K176/M176</f>
        <v>#DIV/0!</v>
      </c>
      <c r="N178" s="36"/>
      <c r="O178" s="41" t="s">
        <v>774</v>
      </c>
      <c r="P178" s="41">
        <f>K176/O176</f>
        <v>91500</v>
      </c>
      <c r="Q178" s="17"/>
      <c r="R178" s="17" t="s">
        <v>775</v>
      </c>
      <c r="S178" s="46">
        <f>K176/O176/43560</f>
        <v>2.1005509641873279</v>
      </c>
      <c r="T178" s="41"/>
      <c r="U178" s="12"/>
      <c r="V178" s="11"/>
      <c r="W178" s="11"/>
      <c r="X178" s="11"/>
      <c r="Y178" s="11"/>
    </row>
    <row r="179" spans="1:45" x14ac:dyDescent="0.25">
      <c r="O179" s="49" t="s">
        <v>795</v>
      </c>
      <c r="P179" s="53">
        <v>90000</v>
      </c>
      <c r="Q179" s="54"/>
      <c r="R179" s="55" t="s">
        <v>796</v>
      </c>
    </row>
    <row r="180" spans="1:45" ht="15.75" thickBot="1" x14ac:dyDescent="0.3">
      <c r="O180" s="51" t="s">
        <v>794</v>
      </c>
      <c r="P180" s="56">
        <v>50000</v>
      </c>
      <c r="Q180" s="56"/>
      <c r="R180" s="52">
        <f>((P179-P180)/P180*100)/100+1</f>
        <v>1.8</v>
      </c>
    </row>
    <row r="181" spans="1:45" x14ac:dyDescent="0.25">
      <c r="O181" s="49" t="s">
        <v>783</v>
      </c>
      <c r="P181" s="53">
        <v>42000</v>
      </c>
      <c r="Q181" s="54"/>
      <c r="R181" s="55" t="s">
        <v>791</v>
      </c>
    </row>
    <row r="182" spans="1:45" ht="15.75" thickBot="1" x14ac:dyDescent="0.3">
      <c r="O182" s="51" t="s">
        <v>784</v>
      </c>
      <c r="P182" s="56">
        <v>50000</v>
      </c>
      <c r="Q182" s="56">
        <v>1.4</v>
      </c>
      <c r="R182" s="57">
        <f>P182*Q182</f>
        <v>70000</v>
      </c>
    </row>
    <row r="183" spans="1:45" x14ac:dyDescent="0.25">
      <c r="A183" s="48" t="s">
        <v>800</v>
      </c>
    </row>
    <row r="184" spans="1:45" x14ac:dyDescent="0.25">
      <c r="A184" s="1" t="s">
        <v>0</v>
      </c>
      <c r="B184" s="1" t="s">
        <v>1</v>
      </c>
      <c r="C184" s="23" t="s">
        <v>2</v>
      </c>
      <c r="D184" s="13" t="s">
        <v>3</v>
      </c>
      <c r="E184" s="1" t="s">
        <v>4</v>
      </c>
      <c r="F184" s="1" t="s">
        <v>5</v>
      </c>
      <c r="G184" s="13" t="s">
        <v>6</v>
      </c>
      <c r="H184" s="13" t="s">
        <v>7</v>
      </c>
      <c r="I184" s="18" t="s">
        <v>8</v>
      </c>
      <c r="J184" s="13" t="s">
        <v>9</v>
      </c>
      <c r="K184" s="13" t="s">
        <v>10</v>
      </c>
      <c r="L184" s="13" t="s">
        <v>11</v>
      </c>
      <c r="M184" s="28" t="s">
        <v>12</v>
      </c>
      <c r="N184" s="32" t="s">
        <v>13</v>
      </c>
      <c r="O184" s="37" t="s">
        <v>785</v>
      </c>
      <c r="P184" s="37" t="s">
        <v>15</v>
      </c>
      <c r="Q184" s="13" t="s">
        <v>16</v>
      </c>
      <c r="R184" s="13" t="s">
        <v>17</v>
      </c>
      <c r="S184" s="42" t="s">
        <v>18</v>
      </c>
      <c r="T184" s="37" t="s">
        <v>19</v>
      </c>
      <c r="U184" s="3" t="s">
        <v>20</v>
      </c>
      <c r="V184" s="1" t="s">
        <v>21</v>
      </c>
      <c r="W184" s="1" t="s">
        <v>22</v>
      </c>
      <c r="X184" s="1" t="s">
        <v>23</v>
      </c>
      <c r="Y184" s="1" t="s">
        <v>24</v>
      </c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</row>
    <row r="185" spans="1:45" x14ac:dyDescent="0.25">
      <c r="A185" t="s">
        <v>595</v>
      </c>
      <c r="B185" t="s">
        <v>596</v>
      </c>
      <c r="C185" s="24">
        <v>44383</v>
      </c>
      <c r="D185" s="14">
        <v>170000</v>
      </c>
      <c r="E185" t="s">
        <v>27</v>
      </c>
      <c r="F185" t="s">
        <v>28</v>
      </c>
      <c r="G185" s="14">
        <v>170000</v>
      </c>
      <c r="H185" s="14">
        <v>91400</v>
      </c>
      <c r="I185" s="19">
        <f t="shared" ref="I185:I190" si="20">H185/G185*100</f>
        <v>53.764705882352935</v>
      </c>
      <c r="J185" s="14">
        <v>182782</v>
      </c>
      <c r="K185" s="14">
        <f>G185-117782</f>
        <v>52218</v>
      </c>
      <c r="L185" s="14">
        <v>65000</v>
      </c>
      <c r="M185" s="29">
        <v>0</v>
      </c>
      <c r="N185" s="33">
        <v>0</v>
      </c>
      <c r="O185" s="38">
        <v>1</v>
      </c>
      <c r="P185" s="38">
        <v>0.83</v>
      </c>
      <c r="Q185" s="14" t="e">
        <f t="shared" ref="Q185:Q190" si="21">K185/M185</f>
        <v>#DIV/0!</v>
      </c>
      <c r="R185" s="14">
        <f t="shared" ref="R185:R190" si="22">K185/O185</f>
        <v>52218</v>
      </c>
      <c r="S185" s="43">
        <f t="shared" ref="S185:S190" si="23">K185/O185/43560</f>
        <v>1.1987603305785124</v>
      </c>
      <c r="T185" s="38">
        <v>0</v>
      </c>
      <c r="U185" s="5" t="s">
        <v>347</v>
      </c>
      <c r="V185" t="s">
        <v>597</v>
      </c>
      <c r="X185" t="s">
        <v>350</v>
      </c>
      <c r="Y185" s="6" t="s">
        <v>32</v>
      </c>
    </row>
    <row r="186" spans="1:45" x14ac:dyDescent="0.25">
      <c r="A186" t="s">
        <v>601</v>
      </c>
      <c r="B186" t="s">
        <v>602</v>
      </c>
      <c r="C186" s="24">
        <v>44313</v>
      </c>
      <c r="D186" s="14">
        <v>189000</v>
      </c>
      <c r="E186" t="s">
        <v>27</v>
      </c>
      <c r="F186" t="s">
        <v>28</v>
      </c>
      <c r="G186" s="14">
        <v>189000</v>
      </c>
      <c r="H186" s="14">
        <v>94000</v>
      </c>
      <c r="I186" s="19">
        <f t="shared" si="20"/>
        <v>49.735449735449734</v>
      </c>
      <c r="J186" s="14">
        <v>187948</v>
      </c>
      <c r="K186" s="14">
        <f>G186-122948</f>
        <v>66052</v>
      </c>
      <c r="L186" s="14">
        <v>65000</v>
      </c>
      <c r="M186" s="29">
        <v>0</v>
      </c>
      <c r="N186" s="33">
        <v>0</v>
      </c>
      <c r="O186" s="38">
        <v>1</v>
      </c>
      <c r="P186" s="38">
        <v>0.35</v>
      </c>
      <c r="Q186" s="14" t="e">
        <f t="shared" si="21"/>
        <v>#DIV/0!</v>
      </c>
      <c r="R186" s="14">
        <f t="shared" si="22"/>
        <v>66052</v>
      </c>
      <c r="S186" s="43">
        <f t="shared" si="23"/>
        <v>1.5163452708907255</v>
      </c>
      <c r="T186" s="38">
        <v>0</v>
      </c>
      <c r="U186" s="5" t="s">
        <v>347</v>
      </c>
      <c r="V186" t="s">
        <v>603</v>
      </c>
      <c r="X186" t="s">
        <v>350</v>
      </c>
      <c r="Y186" s="6" t="s">
        <v>32</v>
      </c>
    </row>
    <row r="187" spans="1:45" x14ac:dyDescent="0.25">
      <c r="A187" t="s">
        <v>598</v>
      </c>
      <c r="B187" t="s">
        <v>599</v>
      </c>
      <c r="C187" s="24">
        <v>44463</v>
      </c>
      <c r="D187" s="14">
        <v>196000</v>
      </c>
      <c r="E187" t="s">
        <v>27</v>
      </c>
      <c r="F187" t="s">
        <v>28</v>
      </c>
      <c r="G187" s="14">
        <v>196000</v>
      </c>
      <c r="H187" s="14">
        <v>97400</v>
      </c>
      <c r="I187" s="19">
        <f t="shared" si="20"/>
        <v>49.693877551020407</v>
      </c>
      <c r="J187" s="14">
        <v>194846</v>
      </c>
      <c r="K187" s="14">
        <f>G187-129846</f>
        <v>66154</v>
      </c>
      <c r="L187" s="14">
        <v>65000</v>
      </c>
      <c r="M187" s="29">
        <v>0</v>
      </c>
      <c r="N187" s="33">
        <v>0</v>
      </c>
      <c r="O187" s="38">
        <v>1</v>
      </c>
      <c r="P187" s="38">
        <v>0.35</v>
      </c>
      <c r="Q187" s="14" t="e">
        <f t="shared" si="21"/>
        <v>#DIV/0!</v>
      </c>
      <c r="R187" s="14">
        <f t="shared" si="22"/>
        <v>66154</v>
      </c>
      <c r="S187" s="43">
        <f t="shared" si="23"/>
        <v>1.5186868686868686</v>
      </c>
      <c r="T187" s="38">
        <v>0</v>
      </c>
      <c r="U187" s="5" t="s">
        <v>347</v>
      </c>
      <c r="V187" t="s">
        <v>600</v>
      </c>
      <c r="X187" t="s">
        <v>350</v>
      </c>
      <c r="Y187" s="6" t="s">
        <v>32</v>
      </c>
    </row>
    <row r="188" spans="1:45" x14ac:dyDescent="0.25">
      <c r="A188" t="s">
        <v>604</v>
      </c>
      <c r="B188" t="s">
        <v>605</v>
      </c>
      <c r="C188" s="24">
        <v>44326</v>
      </c>
      <c r="D188" s="14">
        <v>201000</v>
      </c>
      <c r="E188" t="s">
        <v>27</v>
      </c>
      <c r="F188" t="s">
        <v>28</v>
      </c>
      <c r="G188" s="14">
        <v>201000</v>
      </c>
      <c r="H188" s="14">
        <v>97300</v>
      </c>
      <c r="I188" s="19">
        <f t="shared" si="20"/>
        <v>48.407960199004975</v>
      </c>
      <c r="J188" s="14">
        <v>194545</v>
      </c>
      <c r="K188" s="14">
        <f>G188-129545</f>
        <v>71455</v>
      </c>
      <c r="L188" s="14">
        <v>65000</v>
      </c>
      <c r="M188" s="29">
        <v>0</v>
      </c>
      <c r="N188" s="33">
        <v>0</v>
      </c>
      <c r="O188" s="38">
        <v>1</v>
      </c>
      <c r="P188" s="38">
        <v>0.3</v>
      </c>
      <c r="Q188" s="14" t="e">
        <f t="shared" si="21"/>
        <v>#DIV/0!</v>
      </c>
      <c r="R188" s="14">
        <f t="shared" si="22"/>
        <v>71455</v>
      </c>
      <c r="S188" s="43">
        <f t="shared" si="23"/>
        <v>1.6403810835629018</v>
      </c>
      <c r="T188" s="38">
        <v>0</v>
      </c>
      <c r="U188" s="5" t="s">
        <v>347</v>
      </c>
      <c r="V188" t="s">
        <v>606</v>
      </c>
      <c r="X188" t="s">
        <v>350</v>
      </c>
      <c r="Y188" s="6" t="s">
        <v>32</v>
      </c>
    </row>
    <row r="189" spans="1:45" x14ac:dyDescent="0.25">
      <c r="A189" t="s">
        <v>607</v>
      </c>
      <c r="B189" t="s">
        <v>608</v>
      </c>
      <c r="C189" s="24">
        <v>44460</v>
      </c>
      <c r="D189" s="14">
        <v>210000</v>
      </c>
      <c r="E189" t="s">
        <v>27</v>
      </c>
      <c r="F189" t="s">
        <v>28</v>
      </c>
      <c r="G189" s="14">
        <v>210000</v>
      </c>
      <c r="H189" s="14">
        <v>98200</v>
      </c>
      <c r="I189" s="19">
        <f t="shared" si="20"/>
        <v>46.761904761904759</v>
      </c>
      <c r="J189" s="14">
        <v>196433</v>
      </c>
      <c r="K189" s="14">
        <f>G189-131433</f>
        <v>78567</v>
      </c>
      <c r="L189" s="14">
        <v>65000</v>
      </c>
      <c r="M189" s="29">
        <v>0</v>
      </c>
      <c r="N189" s="33">
        <v>0</v>
      </c>
      <c r="O189" s="38">
        <v>1</v>
      </c>
      <c r="P189" s="38">
        <v>0.36</v>
      </c>
      <c r="Q189" s="14" t="e">
        <f t="shared" si="21"/>
        <v>#DIV/0!</v>
      </c>
      <c r="R189" s="14">
        <f t="shared" si="22"/>
        <v>78567</v>
      </c>
      <c r="S189" s="43">
        <f t="shared" si="23"/>
        <v>1.8036501377410468</v>
      </c>
      <c r="T189" s="38">
        <v>0</v>
      </c>
      <c r="U189" s="5" t="s">
        <v>347</v>
      </c>
      <c r="V189" t="s">
        <v>609</v>
      </c>
      <c r="X189" t="s">
        <v>350</v>
      </c>
      <c r="Y189" s="6" t="s">
        <v>32</v>
      </c>
    </row>
    <row r="190" spans="1:45" ht="15.75" thickBot="1" x14ac:dyDescent="0.3">
      <c r="A190" t="s">
        <v>582</v>
      </c>
      <c r="B190" t="s">
        <v>583</v>
      </c>
      <c r="C190" s="24">
        <v>44795</v>
      </c>
      <c r="D190" s="14">
        <v>250000</v>
      </c>
      <c r="E190" t="s">
        <v>27</v>
      </c>
      <c r="F190" t="s">
        <v>28</v>
      </c>
      <c r="G190" s="14">
        <v>250000</v>
      </c>
      <c r="H190" s="14">
        <v>111000</v>
      </c>
      <c r="I190" s="19">
        <f t="shared" si="20"/>
        <v>44.4</v>
      </c>
      <c r="J190" s="14">
        <v>221999</v>
      </c>
      <c r="K190" s="14">
        <f>G190-156999</f>
        <v>93001</v>
      </c>
      <c r="L190" s="14">
        <v>65000</v>
      </c>
      <c r="M190" s="29">
        <v>0</v>
      </c>
      <c r="N190" s="33">
        <v>0</v>
      </c>
      <c r="O190" s="38">
        <v>1</v>
      </c>
      <c r="P190" s="38">
        <v>0.36</v>
      </c>
      <c r="Q190" s="14" t="e">
        <f t="shared" si="21"/>
        <v>#DIV/0!</v>
      </c>
      <c r="R190" s="14">
        <f t="shared" si="22"/>
        <v>93001</v>
      </c>
      <c r="S190" s="43">
        <f t="shared" si="23"/>
        <v>2.1350091827364555</v>
      </c>
      <c r="T190" s="38">
        <v>0</v>
      </c>
      <c r="U190" s="5" t="s">
        <v>347</v>
      </c>
      <c r="V190" t="s">
        <v>584</v>
      </c>
      <c r="X190" t="s">
        <v>350</v>
      </c>
      <c r="Y190" s="6" t="s">
        <v>32</v>
      </c>
    </row>
    <row r="191" spans="1:45" ht="15.75" thickTop="1" x14ac:dyDescent="0.25">
      <c r="A191" s="7"/>
      <c r="B191" s="7"/>
      <c r="C191" s="25" t="s">
        <v>769</v>
      </c>
      <c r="D191" s="15">
        <f>+SUM(D185:D190)</f>
        <v>1216000</v>
      </c>
      <c r="E191" s="7"/>
      <c r="F191" s="7"/>
      <c r="G191" s="15">
        <f>+SUM(G185:G190)</f>
        <v>1216000</v>
      </c>
      <c r="H191" s="15">
        <f>+SUM(H185:H190)</f>
        <v>589300</v>
      </c>
      <c r="I191" s="20"/>
      <c r="J191" s="15">
        <f>+SUM(J185:J190)</f>
        <v>1178553</v>
      </c>
      <c r="K191" s="15">
        <f>+SUM(K185:K190)</f>
        <v>427447</v>
      </c>
      <c r="L191" s="15">
        <f>+SUM(L185:L190)</f>
        <v>390000</v>
      </c>
      <c r="M191" s="30">
        <f>+SUM(M185:M190)</f>
        <v>0</v>
      </c>
      <c r="N191" s="34"/>
      <c r="O191" s="39">
        <f>+SUM(O185:O190)</f>
        <v>6</v>
      </c>
      <c r="P191" s="39">
        <f>+SUM(P185:P190)</f>
        <v>2.5499999999999998</v>
      </c>
      <c r="Q191" s="15"/>
      <c r="R191" s="15"/>
      <c r="S191" s="44"/>
      <c r="T191" s="39"/>
      <c r="U191" s="8"/>
      <c r="V191" s="7"/>
      <c r="W191" s="7"/>
      <c r="X191" s="7"/>
      <c r="Y191" s="7"/>
    </row>
    <row r="192" spans="1:45" x14ac:dyDescent="0.25">
      <c r="A192" s="9"/>
      <c r="B192" s="9"/>
      <c r="C192" s="26"/>
      <c r="D192" s="16"/>
      <c r="E192" s="9"/>
      <c r="F192" s="9"/>
      <c r="G192" s="16"/>
      <c r="H192" s="16" t="s">
        <v>770</v>
      </c>
      <c r="I192" s="21">
        <f>H191/G191*100</f>
        <v>48.462171052631582</v>
      </c>
      <c r="J192" s="16"/>
      <c r="K192" s="16"/>
      <c r="L192" s="16" t="s">
        <v>771</v>
      </c>
      <c r="M192" s="31"/>
      <c r="N192" s="35"/>
      <c r="O192" s="40" t="s">
        <v>771</v>
      </c>
      <c r="P192" s="40"/>
      <c r="Q192" s="16"/>
      <c r="R192" s="16" t="s">
        <v>771</v>
      </c>
      <c r="S192" s="45"/>
      <c r="T192" s="40"/>
      <c r="U192" s="10"/>
      <c r="V192" s="9"/>
      <c r="W192" s="9"/>
      <c r="X192" s="9"/>
      <c r="Y192" s="9"/>
    </row>
    <row r="193" spans="1:45" ht="15.75" thickBot="1" x14ac:dyDescent="0.3">
      <c r="A193" s="11"/>
      <c r="B193" s="11"/>
      <c r="C193" s="27"/>
      <c r="D193" s="17"/>
      <c r="E193" s="11"/>
      <c r="F193" s="11"/>
      <c r="G193" s="17"/>
      <c r="H193" s="17" t="s">
        <v>772</v>
      </c>
      <c r="I193" s="22">
        <f>STDEV(I185:I190)</f>
        <v>3.1619518643704549</v>
      </c>
      <c r="J193" s="17"/>
      <c r="K193" s="17"/>
      <c r="L193" s="17" t="s">
        <v>773</v>
      </c>
      <c r="M193" s="47" t="e">
        <f>K191/M191</f>
        <v>#DIV/0!</v>
      </c>
      <c r="N193" s="36"/>
      <c r="O193" s="41" t="s">
        <v>786</v>
      </c>
      <c r="P193" s="41">
        <f>K191/O191</f>
        <v>71241.166666666672</v>
      </c>
      <c r="Q193" s="17"/>
      <c r="R193" s="17" t="s">
        <v>775</v>
      </c>
      <c r="S193" s="46">
        <f>K191/O191/43560</f>
        <v>1.6354721456994186</v>
      </c>
      <c r="T193" s="41"/>
      <c r="U193" s="12"/>
      <c r="V193" s="11"/>
      <c r="W193" s="11"/>
      <c r="X193" s="11"/>
      <c r="Y193" s="11"/>
    </row>
    <row r="194" spans="1:45" x14ac:dyDescent="0.25">
      <c r="O194" s="49" t="s">
        <v>783</v>
      </c>
      <c r="P194" s="53">
        <v>65000</v>
      </c>
      <c r="Q194" s="54"/>
      <c r="R194" s="55" t="s">
        <v>791</v>
      </c>
    </row>
    <row r="195" spans="1:45" ht="15.75" thickBot="1" x14ac:dyDescent="0.3">
      <c r="O195" s="51" t="s">
        <v>784</v>
      </c>
      <c r="P195" s="56">
        <v>71000</v>
      </c>
      <c r="Q195" s="56">
        <v>1.4</v>
      </c>
      <c r="R195" s="57">
        <f>P195*Q195</f>
        <v>99400</v>
      </c>
    </row>
    <row r="196" spans="1:45" x14ac:dyDescent="0.25">
      <c r="A196" s="48" t="s">
        <v>801</v>
      </c>
    </row>
    <row r="197" spans="1:45" x14ac:dyDescent="0.25">
      <c r="A197" s="1" t="s">
        <v>0</v>
      </c>
      <c r="B197" s="1" t="s">
        <v>1</v>
      </c>
      <c r="C197" s="23" t="s">
        <v>2</v>
      </c>
      <c r="D197" s="13" t="s">
        <v>3</v>
      </c>
      <c r="E197" s="1" t="s">
        <v>4</v>
      </c>
      <c r="F197" s="1" t="s">
        <v>5</v>
      </c>
      <c r="G197" s="13" t="s">
        <v>6</v>
      </c>
      <c r="H197" s="13" t="s">
        <v>7</v>
      </c>
      <c r="I197" s="18" t="s">
        <v>8</v>
      </c>
      <c r="J197" s="13" t="s">
        <v>9</v>
      </c>
      <c r="K197" s="13" t="s">
        <v>10</v>
      </c>
      <c r="L197" s="13" t="s">
        <v>11</v>
      </c>
      <c r="M197" s="28" t="s">
        <v>12</v>
      </c>
      <c r="N197" s="32" t="s">
        <v>13</v>
      </c>
      <c r="O197" s="37" t="s">
        <v>785</v>
      </c>
      <c r="P197" s="37" t="s">
        <v>15</v>
      </c>
      <c r="Q197" s="13" t="s">
        <v>16</v>
      </c>
      <c r="R197" s="13" t="s">
        <v>17</v>
      </c>
      <c r="S197" s="42" t="s">
        <v>18</v>
      </c>
      <c r="T197" s="37" t="s">
        <v>19</v>
      </c>
      <c r="U197" s="3" t="s">
        <v>20</v>
      </c>
      <c r="V197" s="1" t="s">
        <v>21</v>
      </c>
      <c r="W197" s="1" t="s">
        <v>22</v>
      </c>
      <c r="X197" s="1" t="s">
        <v>23</v>
      </c>
      <c r="Y197" s="1" t="s">
        <v>24</v>
      </c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</row>
    <row r="198" spans="1:45" x14ac:dyDescent="0.25">
      <c r="A198" t="s">
        <v>738</v>
      </c>
      <c r="B198" t="s">
        <v>739</v>
      </c>
      <c r="C198" s="24">
        <v>44477</v>
      </c>
      <c r="D198" s="14">
        <v>215000</v>
      </c>
      <c r="E198" t="s">
        <v>27</v>
      </c>
      <c r="F198" t="s">
        <v>28</v>
      </c>
      <c r="G198" s="14">
        <v>215000</v>
      </c>
      <c r="H198" s="14">
        <v>121800</v>
      </c>
      <c r="I198" s="19">
        <f t="shared" ref="I198:I209" si="24">H198/G198*100</f>
        <v>56.651162790697676</v>
      </c>
      <c r="J198" s="14">
        <v>243664</v>
      </c>
      <c r="K198" s="14">
        <f>G198-182664</f>
        <v>32336</v>
      </c>
      <c r="L198" s="14">
        <v>61000</v>
      </c>
      <c r="M198" s="29">
        <v>0</v>
      </c>
      <c r="N198" s="33">
        <v>0</v>
      </c>
      <c r="O198" s="38">
        <v>1</v>
      </c>
      <c r="P198" s="38">
        <v>0.37</v>
      </c>
      <c r="Q198" s="14" t="e">
        <f t="shared" ref="Q198:Q209" si="25">K198/M198</f>
        <v>#DIV/0!</v>
      </c>
      <c r="R198" s="14">
        <f t="shared" ref="R198:R209" si="26">K198/O198</f>
        <v>32336</v>
      </c>
      <c r="S198" s="43">
        <f t="shared" ref="S198:S209" si="27">K198/O198/43560</f>
        <v>0.74233241505968783</v>
      </c>
      <c r="T198" s="38">
        <v>0</v>
      </c>
      <c r="U198" s="5" t="s">
        <v>347</v>
      </c>
      <c r="V198" t="s">
        <v>740</v>
      </c>
      <c r="X198" t="s">
        <v>350</v>
      </c>
      <c r="Y198" s="6" t="s">
        <v>32</v>
      </c>
    </row>
    <row r="199" spans="1:45" x14ac:dyDescent="0.25">
      <c r="A199" t="s">
        <v>747</v>
      </c>
      <c r="B199" t="s">
        <v>748</v>
      </c>
      <c r="C199" s="24">
        <v>44907</v>
      </c>
      <c r="D199" s="14">
        <v>355000</v>
      </c>
      <c r="E199" t="s">
        <v>27</v>
      </c>
      <c r="F199" t="s">
        <v>28</v>
      </c>
      <c r="G199" s="14">
        <v>355000</v>
      </c>
      <c r="H199" s="14">
        <v>187700</v>
      </c>
      <c r="I199" s="19">
        <f t="shared" si="24"/>
        <v>52.873239436619727</v>
      </c>
      <c r="J199" s="14">
        <v>375433</v>
      </c>
      <c r="K199" s="14">
        <f>G199-314433</f>
        <v>40567</v>
      </c>
      <c r="L199" s="14">
        <v>61000</v>
      </c>
      <c r="M199" s="29">
        <v>0</v>
      </c>
      <c r="N199" s="33">
        <v>0</v>
      </c>
      <c r="O199" s="38">
        <v>1</v>
      </c>
      <c r="P199" s="38">
        <v>0.55000000000000004</v>
      </c>
      <c r="Q199" s="14" t="e">
        <f t="shared" si="25"/>
        <v>#DIV/0!</v>
      </c>
      <c r="R199" s="14">
        <f t="shared" si="26"/>
        <v>40567</v>
      </c>
      <c r="S199" s="43">
        <f t="shared" si="27"/>
        <v>0.93129017447199269</v>
      </c>
      <c r="T199" s="38">
        <v>0</v>
      </c>
      <c r="U199" s="5" t="s">
        <v>347</v>
      </c>
      <c r="V199" t="s">
        <v>749</v>
      </c>
      <c r="X199" t="s">
        <v>350</v>
      </c>
      <c r="Y199" s="6" t="s">
        <v>32</v>
      </c>
    </row>
    <row r="200" spans="1:45" x14ac:dyDescent="0.25">
      <c r="A200" t="s">
        <v>744</v>
      </c>
      <c r="B200" t="s">
        <v>745</v>
      </c>
      <c r="C200" s="24">
        <v>45072</v>
      </c>
      <c r="D200" s="14">
        <v>376000</v>
      </c>
      <c r="E200" t="s">
        <v>27</v>
      </c>
      <c r="F200" t="s">
        <v>28</v>
      </c>
      <c r="G200" s="14">
        <v>376000</v>
      </c>
      <c r="H200" s="14">
        <v>196800</v>
      </c>
      <c r="I200" s="19">
        <f t="shared" si="24"/>
        <v>52.340425531914889</v>
      </c>
      <c r="J200" s="14">
        <v>393614</v>
      </c>
      <c r="K200" s="14">
        <f>G200-332614</f>
        <v>43386</v>
      </c>
      <c r="L200" s="14">
        <v>61000</v>
      </c>
      <c r="M200" s="29">
        <v>0</v>
      </c>
      <c r="N200" s="33">
        <v>0</v>
      </c>
      <c r="O200" s="38">
        <v>1</v>
      </c>
      <c r="P200" s="38">
        <v>0.4</v>
      </c>
      <c r="Q200" s="14" t="e">
        <f t="shared" si="25"/>
        <v>#DIV/0!</v>
      </c>
      <c r="R200" s="14">
        <f t="shared" si="26"/>
        <v>43386</v>
      </c>
      <c r="S200" s="43">
        <f t="shared" si="27"/>
        <v>0.99600550964187329</v>
      </c>
      <c r="T200" s="38">
        <v>0</v>
      </c>
      <c r="U200" s="5" t="s">
        <v>347</v>
      </c>
      <c r="V200" t="s">
        <v>746</v>
      </c>
      <c r="X200" t="s">
        <v>350</v>
      </c>
      <c r="Y200" s="6" t="s">
        <v>32</v>
      </c>
    </row>
    <row r="201" spans="1:45" x14ac:dyDescent="0.25">
      <c r="A201" t="s">
        <v>735</v>
      </c>
      <c r="B201" t="s">
        <v>736</v>
      </c>
      <c r="C201" s="24">
        <v>44487</v>
      </c>
      <c r="D201" s="14">
        <v>248900</v>
      </c>
      <c r="E201" t="s">
        <v>27</v>
      </c>
      <c r="F201" t="s">
        <v>28</v>
      </c>
      <c r="G201" s="14">
        <v>248900</v>
      </c>
      <c r="H201" s="14">
        <v>130800</v>
      </c>
      <c r="I201" s="19">
        <f t="shared" si="24"/>
        <v>52.551225391723591</v>
      </c>
      <c r="J201" s="14">
        <v>261574</v>
      </c>
      <c r="K201" s="14">
        <f>G201-200574</f>
        <v>48326</v>
      </c>
      <c r="L201" s="14">
        <v>61000</v>
      </c>
      <c r="M201" s="29">
        <v>0</v>
      </c>
      <c r="N201" s="33">
        <v>0</v>
      </c>
      <c r="O201" s="38">
        <v>1</v>
      </c>
      <c r="P201" s="38">
        <v>0.35</v>
      </c>
      <c r="Q201" s="14" t="e">
        <f t="shared" si="25"/>
        <v>#DIV/0!</v>
      </c>
      <c r="R201" s="14">
        <f t="shared" si="26"/>
        <v>48326</v>
      </c>
      <c r="S201" s="43">
        <f t="shared" si="27"/>
        <v>1.1094123048668503</v>
      </c>
      <c r="T201" s="38">
        <v>0</v>
      </c>
      <c r="U201" s="5" t="s">
        <v>347</v>
      </c>
      <c r="V201" t="s">
        <v>737</v>
      </c>
      <c r="X201" t="s">
        <v>350</v>
      </c>
      <c r="Y201" s="6" t="s">
        <v>32</v>
      </c>
    </row>
    <row r="202" spans="1:45" x14ac:dyDescent="0.25">
      <c r="A202" t="s">
        <v>741</v>
      </c>
      <c r="B202" t="s">
        <v>742</v>
      </c>
      <c r="C202" s="24">
        <v>44601</v>
      </c>
      <c r="D202" s="14">
        <v>291250</v>
      </c>
      <c r="E202" t="s">
        <v>27</v>
      </c>
      <c r="F202" t="s">
        <v>28</v>
      </c>
      <c r="G202" s="14">
        <v>291250</v>
      </c>
      <c r="H202" s="14">
        <v>151400</v>
      </c>
      <c r="I202" s="19">
        <f t="shared" si="24"/>
        <v>51.982832618025753</v>
      </c>
      <c r="J202" s="14">
        <v>302776</v>
      </c>
      <c r="K202" s="14">
        <f>G202-241776</f>
        <v>49474</v>
      </c>
      <c r="L202" s="14">
        <v>61000</v>
      </c>
      <c r="M202" s="29">
        <v>0</v>
      </c>
      <c r="N202" s="33">
        <v>0</v>
      </c>
      <c r="O202" s="38">
        <v>1</v>
      </c>
      <c r="P202" s="38">
        <v>0.35</v>
      </c>
      <c r="Q202" s="14" t="e">
        <f t="shared" si="25"/>
        <v>#DIV/0!</v>
      </c>
      <c r="R202" s="14">
        <f t="shared" si="26"/>
        <v>49474</v>
      </c>
      <c r="S202" s="43">
        <f t="shared" si="27"/>
        <v>1.1357667584940312</v>
      </c>
      <c r="T202" s="38">
        <v>0</v>
      </c>
      <c r="U202" s="5" t="s">
        <v>347</v>
      </c>
      <c r="V202" t="s">
        <v>743</v>
      </c>
      <c r="X202" t="s">
        <v>350</v>
      </c>
      <c r="Y202" s="6" t="s">
        <v>32</v>
      </c>
    </row>
    <row r="203" spans="1:45" x14ac:dyDescent="0.25">
      <c r="A203" t="s">
        <v>754</v>
      </c>
      <c r="B203" t="s">
        <v>755</v>
      </c>
      <c r="C203" s="24">
        <v>44631</v>
      </c>
      <c r="D203" s="14">
        <v>351500</v>
      </c>
      <c r="E203" t="s">
        <v>27</v>
      </c>
      <c r="F203" t="s">
        <v>28</v>
      </c>
      <c r="G203" s="14">
        <v>351500</v>
      </c>
      <c r="H203" s="14">
        <v>156700</v>
      </c>
      <c r="I203" s="19">
        <f t="shared" si="24"/>
        <v>44.580369843527741</v>
      </c>
      <c r="J203" s="14">
        <v>313428</v>
      </c>
      <c r="K203" s="14">
        <f>G203-252428</f>
        <v>99072</v>
      </c>
      <c r="L203" s="14">
        <v>61000</v>
      </c>
      <c r="M203" s="29">
        <v>0</v>
      </c>
      <c r="N203" s="33">
        <v>0</v>
      </c>
      <c r="O203" s="38">
        <v>2</v>
      </c>
      <c r="P203" s="38">
        <v>1.2</v>
      </c>
      <c r="Q203" s="14" t="e">
        <f t="shared" si="25"/>
        <v>#DIV/0!</v>
      </c>
      <c r="R203" s="14">
        <f t="shared" si="26"/>
        <v>49536</v>
      </c>
      <c r="S203" s="43">
        <f t="shared" si="27"/>
        <v>1.1371900826446282</v>
      </c>
      <c r="T203" s="38">
        <v>0</v>
      </c>
      <c r="U203" s="5" t="s">
        <v>347</v>
      </c>
      <c r="V203" t="s">
        <v>756</v>
      </c>
      <c r="X203" t="s">
        <v>350</v>
      </c>
      <c r="Y203" s="6" t="s">
        <v>32</v>
      </c>
    </row>
    <row r="204" spans="1:45" x14ac:dyDescent="0.25">
      <c r="A204" t="s">
        <v>750</v>
      </c>
      <c r="B204" t="s">
        <v>751</v>
      </c>
      <c r="C204" s="24">
        <v>44981</v>
      </c>
      <c r="D204" s="14">
        <v>390000</v>
      </c>
      <c r="E204" t="s">
        <v>27</v>
      </c>
      <c r="F204" t="s">
        <v>28</v>
      </c>
      <c r="G204" s="14">
        <v>390000</v>
      </c>
      <c r="H204" s="14">
        <v>195700</v>
      </c>
      <c r="I204" s="19">
        <f t="shared" si="24"/>
        <v>50.179487179487182</v>
      </c>
      <c r="J204" s="14">
        <v>391494</v>
      </c>
      <c r="K204" s="14">
        <f>G204-330494</f>
        <v>59506</v>
      </c>
      <c r="L204" s="14">
        <v>61000</v>
      </c>
      <c r="M204" s="29">
        <v>0</v>
      </c>
      <c r="N204" s="33">
        <v>0</v>
      </c>
      <c r="O204" s="38">
        <v>1</v>
      </c>
      <c r="P204" s="38">
        <v>0.84</v>
      </c>
      <c r="Q204" s="14" t="e">
        <f t="shared" si="25"/>
        <v>#DIV/0!</v>
      </c>
      <c r="R204" s="14">
        <f t="shared" si="26"/>
        <v>59506</v>
      </c>
      <c r="S204" s="43">
        <f t="shared" si="27"/>
        <v>1.3660697887970614</v>
      </c>
      <c r="T204" s="38">
        <v>0</v>
      </c>
      <c r="U204" s="5" t="s">
        <v>347</v>
      </c>
      <c r="V204" t="s">
        <v>752</v>
      </c>
      <c r="X204" t="s">
        <v>350</v>
      </c>
      <c r="Y204" s="6" t="s">
        <v>32</v>
      </c>
    </row>
    <row r="205" spans="1:45" x14ac:dyDescent="0.25">
      <c r="A205" t="s">
        <v>750</v>
      </c>
      <c r="B205" t="s">
        <v>751</v>
      </c>
      <c r="C205" s="24">
        <v>45086</v>
      </c>
      <c r="D205" s="14">
        <v>390000</v>
      </c>
      <c r="E205" t="s">
        <v>27</v>
      </c>
      <c r="F205" t="s">
        <v>28</v>
      </c>
      <c r="G205" s="14">
        <v>390000</v>
      </c>
      <c r="H205" s="14">
        <v>195700</v>
      </c>
      <c r="I205" s="19">
        <f t="shared" si="24"/>
        <v>50.179487179487182</v>
      </c>
      <c r="J205" s="14">
        <v>391494</v>
      </c>
      <c r="K205" s="14">
        <f>G205-330494</f>
        <v>59506</v>
      </c>
      <c r="L205" s="14">
        <v>61000</v>
      </c>
      <c r="M205" s="29">
        <v>0</v>
      </c>
      <c r="N205" s="33">
        <v>0</v>
      </c>
      <c r="O205" s="38">
        <v>1</v>
      </c>
      <c r="P205" s="38">
        <v>0.84</v>
      </c>
      <c r="Q205" s="14" t="e">
        <f t="shared" si="25"/>
        <v>#DIV/0!</v>
      </c>
      <c r="R205" s="14">
        <f t="shared" si="26"/>
        <v>59506</v>
      </c>
      <c r="S205" s="43">
        <f t="shared" si="27"/>
        <v>1.3660697887970614</v>
      </c>
      <c r="T205" s="38">
        <v>0</v>
      </c>
      <c r="U205" s="5" t="s">
        <v>347</v>
      </c>
      <c r="V205" t="s">
        <v>753</v>
      </c>
      <c r="X205" t="s">
        <v>350</v>
      </c>
      <c r="Y205" s="6" t="s">
        <v>32</v>
      </c>
    </row>
    <row r="206" spans="1:45" x14ac:dyDescent="0.25">
      <c r="A206" t="s">
        <v>729</v>
      </c>
      <c r="B206" t="s">
        <v>730</v>
      </c>
      <c r="C206" s="24">
        <v>44804</v>
      </c>
      <c r="D206" s="14">
        <v>269000</v>
      </c>
      <c r="E206" t="s">
        <v>620</v>
      </c>
      <c r="F206" t="s">
        <v>28</v>
      </c>
      <c r="G206" s="14">
        <v>269000</v>
      </c>
      <c r="H206" s="14">
        <v>121900</v>
      </c>
      <c r="I206" s="19">
        <f t="shared" si="24"/>
        <v>45.315985130111528</v>
      </c>
      <c r="J206" s="14">
        <v>243875</v>
      </c>
      <c r="K206" s="14">
        <f>G206-182875</f>
        <v>86125</v>
      </c>
      <c r="L206" s="14">
        <v>61000</v>
      </c>
      <c r="M206" s="29">
        <v>0</v>
      </c>
      <c r="N206" s="33">
        <v>0</v>
      </c>
      <c r="O206" s="38">
        <v>1</v>
      </c>
      <c r="P206" s="38">
        <v>0.49</v>
      </c>
      <c r="Q206" s="14" t="e">
        <f t="shared" si="25"/>
        <v>#DIV/0!</v>
      </c>
      <c r="R206" s="14">
        <f t="shared" si="26"/>
        <v>86125</v>
      </c>
      <c r="S206" s="43">
        <f t="shared" si="27"/>
        <v>1.9771579430670341</v>
      </c>
      <c r="T206" s="38">
        <v>0</v>
      </c>
      <c r="U206" s="5" t="s">
        <v>347</v>
      </c>
      <c r="V206" t="s">
        <v>731</v>
      </c>
      <c r="X206" t="s">
        <v>350</v>
      </c>
      <c r="Y206" s="6" t="s">
        <v>32</v>
      </c>
    </row>
    <row r="207" spans="1:45" x14ac:dyDescent="0.25">
      <c r="A207" t="s">
        <v>726</v>
      </c>
      <c r="B207" t="s">
        <v>727</v>
      </c>
      <c r="C207" s="24">
        <v>45114</v>
      </c>
      <c r="D207" s="14">
        <v>240000</v>
      </c>
      <c r="E207" t="s">
        <v>27</v>
      </c>
      <c r="F207" t="s">
        <v>28</v>
      </c>
      <c r="G207" s="14">
        <v>240000</v>
      </c>
      <c r="H207" s="14">
        <v>107000</v>
      </c>
      <c r="I207" s="19">
        <f t="shared" si="24"/>
        <v>44.583333333333336</v>
      </c>
      <c r="J207" s="14">
        <v>214056</v>
      </c>
      <c r="K207" s="14">
        <f>G207-153056</f>
        <v>86944</v>
      </c>
      <c r="L207" s="14">
        <v>61000</v>
      </c>
      <c r="M207" s="29">
        <v>0</v>
      </c>
      <c r="N207" s="33">
        <v>0</v>
      </c>
      <c r="O207" s="38">
        <v>1</v>
      </c>
      <c r="P207" s="38">
        <v>0.47</v>
      </c>
      <c r="Q207" s="14" t="e">
        <f t="shared" si="25"/>
        <v>#DIV/0!</v>
      </c>
      <c r="R207" s="14">
        <f t="shared" si="26"/>
        <v>86944</v>
      </c>
      <c r="S207" s="43">
        <f t="shared" si="27"/>
        <v>1.9959595959595959</v>
      </c>
      <c r="T207" s="38">
        <v>0</v>
      </c>
      <c r="U207" s="5" t="s">
        <v>347</v>
      </c>
      <c r="V207" t="s">
        <v>728</v>
      </c>
      <c r="X207" t="s">
        <v>350</v>
      </c>
      <c r="Y207" s="6" t="s">
        <v>32</v>
      </c>
    </row>
    <row r="208" spans="1:45" ht="15.75" thickBot="1" x14ac:dyDescent="0.3">
      <c r="A208" t="s">
        <v>722</v>
      </c>
      <c r="B208" t="s">
        <v>723</v>
      </c>
      <c r="C208" s="24">
        <v>44606</v>
      </c>
      <c r="D208" s="14">
        <v>259900</v>
      </c>
      <c r="E208" t="s">
        <v>27</v>
      </c>
      <c r="F208" t="s">
        <v>28</v>
      </c>
      <c r="G208" s="14">
        <v>259900</v>
      </c>
      <c r="H208" s="14">
        <v>112100</v>
      </c>
      <c r="I208" s="19">
        <f t="shared" si="24"/>
        <v>43.1319738360908</v>
      </c>
      <c r="J208" s="14">
        <v>224221</v>
      </c>
      <c r="K208" s="14">
        <f>G208-163221</f>
        <v>96679</v>
      </c>
      <c r="L208" s="14">
        <v>61000</v>
      </c>
      <c r="M208" s="29">
        <v>0</v>
      </c>
      <c r="N208" s="33">
        <v>0</v>
      </c>
      <c r="O208" s="38">
        <v>1</v>
      </c>
      <c r="P208" s="38">
        <v>0.46</v>
      </c>
      <c r="Q208" s="14" t="e">
        <f t="shared" si="25"/>
        <v>#DIV/0!</v>
      </c>
      <c r="R208" s="14">
        <f t="shared" si="26"/>
        <v>96679</v>
      </c>
      <c r="S208" s="43">
        <f t="shared" si="27"/>
        <v>2.2194444444444446</v>
      </c>
      <c r="T208" s="38">
        <v>0</v>
      </c>
      <c r="U208" s="5" t="s">
        <v>347</v>
      </c>
      <c r="V208" t="s">
        <v>724</v>
      </c>
      <c r="X208" t="s">
        <v>350</v>
      </c>
      <c r="Y208" s="6" t="s">
        <v>32</v>
      </c>
    </row>
    <row r="209" spans="1:45" ht="15.75" thickBot="1" x14ac:dyDescent="0.3">
      <c r="A209" t="s">
        <v>722</v>
      </c>
      <c r="B209" t="s">
        <v>723</v>
      </c>
      <c r="C209" s="24">
        <v>44875</v>
      </c>
      <c r="D209" s="14">
        <v>279900</v>
      </c>
      <c r="E209" t="s">
        <v>27</v>
      </c>
      <c r="F209" t="s">
        <v>28</v>
      </c>
      <c r="G209" s="14">
        <v>279900</v>
      </c>
      <c r="H209" s="14">
        <v>112100</v>
      </c>
      <c r="I209" s="19">
        <f t="shared" si="24"/>
        <v>40.050017863522683</v>
      </c>
      <c r="J209" s="14">
        <v>224221</v>
      </c>
      <c r="K209" s="14">
        <f>G209-163221</f>
        <v>116679</v>
      </c>
      <c r="L209" s="14">
        <v>61000</v>
      </c>
      <c r="M209" s="29">
        <v>0</v>
      </c>
      <c r="N209" s="33">
        <v>0</v>
      </c>
      <c r="O209" s="38">
        <v>1</v>
      </c>
      <c r="P209" s="38">
        <v>0.46</v>
      </c>
      <c r="Q209" s="14" t="e">
        <f t="shared" si="25"/>
        <v>#DIV/0!</v>
      </c>
      <c r="R209" s="14">
        <f t="shared" si="26"/>
        <v>116679</v>
      </c>
      <c r="S209" s="43">
        <f t="shared" si="27"/>
        <v>2.678581267217631</v>
      </c>
      <c r="T209" s="38">
        <v>0</v>
      </c>
      <c r="U209" s="5" t="s">
        <v>347</v>
      </c>
      <c r="V209" t="s">
        <v>725</v>
      </c>
      <c r="X209" t="s">
        <v>350</v>
      </c>
      <c r="Y209" s="6" t="s">
        <v>32</v>
      </c>
    </row>
    <row r="210" spans="1:45" ht="15.75" thickTop="1" x14ac:dyDescent="0.25">
      <c r="A210" s="7"/>
      <c r="B210" s="7"/>
      <c r="C210" s="25" t="s">
        <v>769</v>
      </c>
      <c r="D210" s="15">
        <f>+SUM(D198:D209)</f>
        <v>3666450</v>
      </c>
      <c r="E210" s="7"/>
      <c r="F210" s="7"/>
      <c r="G210" s="15">
        <f>+SUM(G198:G209)</f>
        <v>3666450</v>
      </c>
      <c r="H210" s="15">
        <f>+SUM(H198:H209)</f>
        <v>1789700</v>
      </c>
      <c r="I210" s="20"/>
      <c r="J210" s="15">
        <f>+SUM(J198:J209)</f>
        <v>3579850</v>
      </c>
      <c r="K210" s="15">
        <f>+SUM(K198:K209)</f>
        <v>818600</v>
      </c>
      <c r="L210" s="15">
        <f>+SUM(L198:L209)</f>
        <v>732000</v>
      </c>
      <c r="M210" s="30">
        <f>+SUM(M198:M209)</f>
        <v>0</v>
      </c>
      <c r="N210" s="34"/>
      <c r="O210" s="39">
        <f>+SUM(O198:O209)</f>
        <v>13</v>
      </c>
      <c r="P210" s="39">
        <f>+SUM(P198:P209)</f>
        <v>6.7799999999999994</v>
      </c>
      <c r="Q210" s="15"/>
      <c r="R210" s="15"/>
      <c r="S210" s="44"/>
      <c r="T210" s="39"/>
      <c r="U210" s="8"/>
      <c r="V210" s="7"/>
      <c r="W210" s="7"/>
      <c r="X210" s="7"/>
      <c r="Y210" s="7"/>
    </row>
    <row r="211" spans="1:45" x14ac:dyDescent="0.25">
      <c r="A211" s="9"/>
      <c r="B211" s="9"/>
      <c r="C211" s="26"/>
      <c r="D211" s="16"/>
      <c r="E211" s="9"/>
      <c r="F211" s="9"/>
      <c r="G211" s="16"/>
      <c r="H211" s="16" t="s">
        <v>770</v>
      </c>
      <c r="I211" s="21">
        <f>H210/G210*100</f>
        <v>48.812884397714413</v>
      </c>
      <c r="J211" s="16"/>
      <c r="K211" s="16"/>
      <c r="L211" s="16" t="s">
        <v>771</v>
      </c>
      <c r="M211" s="31"/>
      <c r="N211" s="35"/>
      <c r="O211" s="40" t="s">
        <v>771</v>
      </c>
      <c r="P211" s="40"/>
      <c r="Q211" s="16"/>
      <c r="R211" s="16" t="s">
        <v>771</v>
      </c>
      <c r="S211" s="45"/>
      <c r="T211" s="40"/>
      <c r="U211" s="10"/>
      <c r="V211" s="9"/>
      <c r="W211" s="9"/>
      <c r="X211" s="9"/>
      <c r="Y211" s="9"/>
    </row>
    <row r="212" spans="1:45" ht="15.75" thickBot="1" x14ac:dyDescent="0.3">
      <c r="A212" s="11"/>
      <c r="B212" s="11"/>
      <c r="C212" s="27"/>
      <c r="D212" s="17"/>
      <c r="E212" s="11"/>
      <c r="F212" s="11"/>
      <c r="G212" s="17"/>
      <c r="H212" s="17" t="s">
        <v>772</v>
      </c>
      <c r="I212" s="22">
        <f>STDEV(I198:I209)</f>
        <v>5.0006475492751239</v>
      </c>
      <c r="J212" s="17"/>
      <c r="K212" s="17"/>
      <c r="L212" s="17" t="s">
        <v>773</v>
      </c>
      <c r="M212" s="47" t="e">
        <f>K210/M210</f>
        <v>#DIV/0!</v>
      </c>
      <c r="N212" s="36"/>
      <c r="O212" s="41" t="s">
        <v>786</v>
      </c>
      <c r="P212" s="41">
        <f>K210/O210</f>
        <v>62969.230769230766</v>
      </c>
      <c r="Q212" s="17"/>
      <c r="R212" s="17" t="s">
        <v>775</v>
      </c>
      <c r="S212" s="46">
        <f>K210/O210/43560</f>
        <v>1.4455746273928092</v>
      </c>
      <c r="T212" s="41"/>
      <c r="U212" s="12"/>
      <c r="V212" s="11"/>
      <c r="W212" s="11"/>
      <c r="X212" s="11"/>
      <c r="Y212" s="11"/>
    </row>
    <row r="213" spans="1:45" x14ac:dyDescent="0.25">
      <c r="O213" s="49" t="s">
        <v>783</v>
      </c>
      <c r="P213" s="53">
        <v>61000</v>
      </c>
      <c r="Q213" s="54"/>
      <c r="R213" s="55" t="s">
        <v>791</v>
      </c>
    </row>
    <row r="214" spans="1:45" ht="15.75" thickBot="1" x14ac:dyDescent="0.3">
      <c r="O214" s="51" t="s">
        <v>784</v>
      </c>
      <c r="P214" s="56">
        <v>63000</v>
      </c>
      <c r="Q214" s="56">
        <v>1.4</v>
      </c>
      <c r="R214" s="57">
        <f>P214*Q214</f>
        <v>88200</v>
      </c>
    </row>
    <row r="215" spans="1:45" x14ac:dyDescent="0.25">
      <c r="A215" s="48" t="s">
        <v>838</v>
      </c>
    </row>
    <row r="216" spans="1:45" x14ac:dyDescent="0.25">
      <c r="A216" s="1" t="s">
        <v>0</v>
      </c>
      <c r="B216" s="1" t="s">
        <v>1</v>
      </c>
      <c r="C216" s="23" t="s">
        <v>2</v>
      </c>
      <c r="D216" s="13" t="s">
        <v>3</v>
      </c>
      <c r="E216" s="1" t="s">
        <v>4</v>
      </c>
      <c r="F216" s="1" t="s">
        <v>5</v>
      </c>
      <c r="G216" s="13" t="s">
        <v>6</v>
      </c>
      <c r="H216" s="13" t="s">
        <v>7</v>
      </c>
      <c r="I216" s="18" t="s">
        <v>8</v>
      </c>
      <c r="J216" s="13" t="s">
        <v>9</v>
      </c>
      <c r="K216" s="13" t="s">
        <v>10</v>
      </c>
      <c r="L216" s="13" t="s">
        <v>11</v>
      </c>
      <c r="M216" s="28" t="s">
        <v>12</v>
      </c>
      <c r="N216" s="32" t="s">
        <v>13</v>
      </c>
      <c r="O216" s="37" t="s">
        <v>785</v>
      </c>
      <c r="P216" s="37" t="s">
        <v>15</v>
      </c>
      <c r="Q216" s="13" t="s">
        <v>16</v>
      </c>
      <c r="R216" s="13" t="s">
        <v>17</v>
      </c>
      <c r="S216" s="42" t="s">
        <v>18</v>
      </c>
      <c r="T216" s="37" t="s">
        <v>19</v>
      </c>
      <c r="U216" s="3" t="s">
        <v>20</v>
      </c>
      <c r="V216" s="1" t="s">
        <v>21</v>
      </c>
      <c r="W216" s="1" t="s">
        <v>22</v>
      </c>
      <c r="X216" s="1" t="s">
        <v>23</v>
      </c>
      <c r="Y216" s="1" t="s">
        <v>24</v>
      </c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</row>
    <row r="217" spans="1:45" ht="15.75" thickBot="1" x14ac:dyDescent="0.3">
      <c r="A217" t="s">
        <v>763</v>
      </c>
      <c r="B217" t="s">
        <v>764</v>
      </c>
      <c r="C217" s="24">
        <v>44588</v>
      </c>
      <c r="D217" s="14">
        <v>342000</v>
      </c>
      <c r="E217" t="s">
        <v>27</v>
      </c>
      <c r="F217" t="s">
        <v>28</v>
      </c>
      <c r="G217" s="14">
        <v>342000</v>
      </c>
      <c r="H217" s="14">
        <v>181700</v>
      </c>
      <c r="I217" s="19">
        <f>H217/G217*100</f>
        <v>53.128654970760238</v>
      </c>
      <c r="J217" s="14">
        <v>363300</v>
      </c>
      <c r="K217" s="14">
        <f>G217-325300</f>
        <v>16700</v>
      </c>
      <c r="L217" s="14">
        <v>38000</v>
      </c>
      <c r="M217" s="29">
        <v>0</v>
      </c>
      <c r="N217" s="33">
        <v>0</v>
      </c>
      <c r="O217" s="38">
        <v>1</v>
      </c>
      <c r="P217" s="38">
        <v>0</v>
      </c>
      <c r="Q217" s="14" t="e">
        <f>K217/M217</f>
        <v>#DIV/0!</v>
      </c>
      <c r="R217" s="14">
        <f>K217/O217</f>
        <v>16700</v>
      </c>
      <c r="S217" s="43">
        <f>K217/O217/43560</f>
        <v>0.38337924701561066</v>
      </c>
      <c r="T217" s="38">
        <v>0</v>
      </c>
      <c r="U217" s="5" t="s">
        <v>347</v>
      </c>
      <c r="V217" t="s">
        <v>765</v>
      </c>
      <c r="X217" t="s">
        <v>350</v>
      </c>
      <c r="Y217" s="6" t="s">
        <v>32</v>
      </c>
    </row>
    <row r="218" spans="1:45" ht="15.75" thickTop="1" x14ac:dyDescent="0.25">
      <c r="A218" s="7"/>
      <c r="B218" s="7"/>
      <c r="C218" s="25" t="s">
        <v>769</v>
      </c>
      <c r="D218" s="15">
        <f>+SUM(D217:D217)</f>
        <v>342000</v>
      </c>
      <c r="E218" s="7"/>
      <c r="F218" s="7"/>
      <c r="G218" s="15">
        <f>+SUM(G217:G217)</f>
        <v>342000</v>
      </c>
      <c r="H218" s="15">
        <f>+SUM(H217:H217)</f>
        <v>181700</v>
      </c>
      <c r="I218" s="20"/>
      <c r="J218" s="15">
        <f>+SUM(J217:J217)</f>
        <v>363300</v>
      </c>
      <c r="K218" s="15">
        <f>+SUM(K217:K217)</f>
        <v>16700</v>
      </c>
      <c r="L218" s="15">
        <f>+SUM(L217:L217)</f>
        <v>38000</v>
      </c>
      <c r="M218" s="30">
        <f>+SUM(M217:M217)</f>
        <v>0</v>
      </c>
      <c r="N218" s="34"/>
      <c r="O218" s="39">
        <f>+SUM(O217:O217)</f>
        <v>1</v>
      </c>
      <c r="P218" s="39">
        <f>+SUM(P217:P217)</f>
        <v>0</v>
      </c>
      <c r="Q218" s="15"/>
      <c r="R218" s="15"/>
      <c r="S218" s="44"/>
      <c r="T218" s="39"/>
      <c r="U218" s="8"/>
      <c r="V218" s="7"/>
      <c r="W218" s="7"/>
      <c r="X218" s="7"/>
      <c r="Y218" s="7"/>
    </row>
    <row r="219" spans="1:45" x14ac:dyDescent="0.25">
      <c r="A219" s="9"/>
      <c r="B219" s="9"/>
      <c r="C219" s="26"/>
      <c r="D219" s="16"/>
      <c r="E219" s="9"/>
      <c r="F219" s="9"/>
      <c r="G219" s="16"/>
      <c r="H219" s="16" t="s">
        <v>770</v>
      </c>
      <c r="I219" s="21">
        <f>H218/G218*100</f>
        <v>53.128654970760238</v>
      </c>
      <c r="J219" s="16"/>
      <c r="K219" s="16"/>
      <c r="L219" s="16" t="s">
        <v>771</v>
      </c>
      <c r="M219" s="31"/>
      <c r="N219" s="35"/>
      <c r="O219" s="40" t="s">
        <v>771</v>
      </c>
      <c r="P219" s="40"/>
      <c r="Q219" s="16"/>
      <c r="R219" s="16" t="s">
        <v>771</v>
      </c>
      <c r="S219" s="45"/>
      <c r="T219" s="40"/>
      <c r="U219" s="10"/>
      <c r="V219" s="9"/>
      <c r="W219" s="9"/>
      <c r="X219" s="9"/>
      <c r="Y219" s="9"/>
    </row>
    <row r="220" spans="1:45" ht="15.75" thickBot="1" x14ac:dyDescent="0.3">
      <c r="A220" s="11"/>
      <c r="B220" s="11"/>
      <c r="C220" s="27"/>
      <c r="D220" s="17"/>
      <c r="E220" s="11"/>
      <c r="F220" s="11"/>
      <c r="G220" s="17"/>
      <c r="H220" s="17" t="s">
        <v>772</v>
      </c>
      <c r="I220" s="22" t="e">
        <f>STDEV(I217:I217)</f>
        <v>#DIV/0!</v>
      </c>
      <c r="J220" s="17"/>
      <c r="K220" s="17"/>
      <c r="L220" s="17" t="s">
        <v>773</v>
      </c>
      <c r="M220" s="47" t="e">
        <f>K218/M218</f>
        <v>#DIV/0!</v>
      </c>
      <c r="N220" s="36"/>
      <c r="O220" s="41" t="s">
        <v>786</v>
      </c>
      <c r="P220" s="41">
        <f>K218/O218</f>
        <v>16700</v>
      </c>
      <c r="Q220" s="17"/>
      <c r="R220" s="17" t="s">
        <v>775</v>
      </c>
      <c r="S220" s="46">
        <f>K218/O218/43560</f>
        <v>0.38337924701561066</v>
      </c>
      <c r="T220" s="41"/>
      <c r="U220" s="12"/>
      <c r="V220" s="11"/>
      <c r="W220" s="11"/>
      <c r="X220" s="11"/>
      <c r="Y220" s="11"/>
    </row>
    <row r="221" spans="1:45" x14ac:dyDescent="0.25">
      <c r="O221" s="49" t="s">
        <v>783</v>
      </c>
      <c r="P221" s="53">
        <v>38000</v>
      </c>
      <c r="Q221" s="54"/>
      <c r="R221" s="55" t="s">
        <v>791</v>
      </c>
    </row>
    <row r="222" spans="1:45" ht="15.75" thickBot="1" x14ac:dyDescent="0.3">
      <c r="O222" s="51" t="s">
        <v>784</v>
      </c>
      <c r="P222" s="56">
        <v>38000</v>
      </c>
      <c r="Q222" s="56">
        <v>1.4</v>
      </c>
      <c r="R222" s="57">
        <f>P222*Q222</f>
        <v>53200</v>
      </c>
    </row>
  </sheetData>
  <sortState xmlns:xlrd2="http://schemas.microsoft.com/office/spreadsheetml/2017/richdata2" ref="A185:AS190">
    <sortCondition ref="R185:R190"/>
  </sortState>
  <conditionalFormatting sqref="A4:Y76 A93:Y98 A106:Y110 A118:Y120 A128:Y144 A152:Y154 A163:Y165 A174:Y175 A185:Y190 A198:Y209 A217:Y217">
    <cfRule type="expression" dxfId="7" priority="25" stopIfTrue="1">
      <formula>MOD(ROW(),4)&gt;1</formula>
    </cfRule>
    <cfRule type="expression" dxfId="6" priority="26" stopIfTrue="1">
      <formula>MOD(ROW(),4)&lt;2</formula>
    </cfRule>
  </conditionalFormatting>
  <conditionalFormatting sqref="A84:Y85">
    <cfRule type="expression" dxfId="5" priority="23" stopIfTrue="1">
      <formula>MOD(ROW(),4)&gt;1</formula>
    </cfRule>
    <cfRule type="expression" dxfId="4" priority="24" stopIfTrue="1">
      <formula>MOD(ROW(),4)&lt;2</formula>
    </cfRule>
  </conditionalFormatting>
  <pageMargins left="0.7" right="0.7" top="0.75" bottom="0.75" header="0.3" footer="0.3"/>
  <pageSetup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F4FE4-884B-4E6B-AC60-2384842806DF}">
  <dimension ref="A1:AS34"/>
  <sheetViews>
    <sheetView topLeftCell="G5" workbookViewId="0">
      <selection activeCell="K38" sqref="K38"/>
    </sheetView>
  </sheetViews>
  <sheetFormatPr defaultRowHeight="15" x14ac:dyDescent="0.25"/>
  <cols>
    <col min="1" max="1" width="18.140625" bestFit="1" customWidth="1"/>
    <col min="2" max="2" width="26.5703125" bestFit="1" customWidth="1"/>
    <col min="3" max="3" width="9.28515625" style="24" bestFit="1" customWidth="1"/>
    <col min="4" max="4" width="11.85546875" style="14" bestFit="1" customWidth="1"/>
    <col min="5" max="5" width="5.5703125" bestFit="1" customWidth="1"/>
    <col min="6" max="6" width="38.42578125" bestFit="1" customWidth="1"/>
    <col min="7" max="7" width="11.85546875" style="14" bestFit="1" customWidth="1"/>
    <col min="8" max="8" width="12.7109375" style="14" bestFit="1" customWidth="1"/>
    <col min="9" max="9" width="12.85546875" style="19" bestFit="1" customWidth="1"/>
    <col min="10" max="10" width="13.42578125" style="14" bestFit="1" customWidth="1"/>
    <col min="11" max="11" width="13.28515625" style="14" bestFit="1" customWidth="1"/>
    <col min="12" max="12" width="14.42578125" style="14" bestFit="1" customWidth="1"/>
    <col min="13" max="13" width="11.140625" style="29" bestFit="1" customWidth="1"/>
    <col min="14" max="14" width="6.42578125" style="33" bestFit="1" customWidth="1"/>
    <col min="15" max="15" width="14.28515625" style="38" bestFit="1" customWidth="1"/>
    <col min="16" max="16" width="10.7109375" style="38" bestFit="1" customWidth="1"/>
    <col min="17" max="17" width="10" style="14" bestFit="1" customWidth="1"/>
    <col min="18" max="18" width="12" style="14" bestFit="1" customWidth="1"/>
    <col min="19" max="19" width="11.85546875" style="43" bestFit="1" customWidth="1"/>
    <col min="20" max="20" width="11.7109375" style="38" bestFit="1" customWidth="1"/>
    <col min="21" max="21" width="8.7109375" style="4" bestFit="1" customWidth="1"/>
    <col min="22" max="22" width="10.5703125" bestFit="1" customWidth="1"/>
    <col min="23" max="23" width="36.5703125" bestFit="1" customWidth="1"/>
    <col min="24" max="24" width="29" bestFit="1" customWidth="1"/>
    <col min="25" max="25" width="5.42578125" bestFit="1" customWidth="1"/>
  </cols>
  <sheetData>
    <row r="1" spans="1:45" x14ac:dyDescent="0.25">
      <c r="A1" s="48" t="s">
        <v>802</v>
      </c>
    </row>
    <row r="2" spans="1:45" x14ac:dyDescent="0.25">
      <c r="A2" s="48" t="s">
        <v>803</v>
      </c>
    </row>
    <row r="3" spans="1:45" x14ac:dyDescent="0.25">
      <c r="A3" s="1" t="s">
        <v>0</v>
      </c>
      <c r="B3" s="1" t="s">
        <v>1</v>
      </c>
      <c r="C3" s="23" t="s">
        <v>2</v>
      </c>
      <c r="D3" s="13" t="s">
        <v>3</v>
      </c>
      <c r="E3" s="1" t="s">
        <v>4</v>
      </c>
      <c r="F3" s="1" t="s">
        <v>5</v>
      </c>
      <c r="G3" s="13" t="s">
        <v>6</v>
      </c>
      <c r="H3" s="13" t="s">
        <v>7</v>
      </c>
      <c r="I3" s="18" t="s">
        <v>8</v>
      </c>
      <c r="J3" s="13" t="s">
        <v>9</v>
      </c>
      <c r="K3" s="13" t="s">
        <v>10</v>
      </c>
      <c r="L3" s="13" t="s">
        <v>11</v>
      </c>
      <c r="M3" s="28" t="s">
        <v>12</v>
      </c>
      <c r="N3" s="32" t="s">
        <v>13</v>
      </c>
      <c r="O3" s="37" t="s">
        <v>14</v>
      </c>
      <c r="P3" s="37" t="s">
        <v>15</v>
      </c>
      <c r="Q3" s="13" t="s">
        <v>16</v>
      </c>
      <c r="R3" s="13" t="s">
        <v>17</v>
      </c>
      <c r="S3" s="42" t="s">
        <v>18</v>
      </c>
      <c r="T3" s="37" t="s">
        <v>19</v>
      </c>
      <c r="U3" s="3" t="s">
        <v>20</v>
      </c>
      <c r="V3" s="1" t="s">
        <v>21</v>
      </c>
      <c r="W3" s="1" t="s">
        <v>22</v>
      </c>
      <c r="X3" s="1" t="s">
        <v>23</v>
      </c>
      <c r="Y3" s="1" t="s">
        <v>24</v>
      </c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</row>
    <row r="4" spans="1:45" x14ac:dyDescent="0.25">
      <c r="A4" t="s">
        <v>652</v>
      </c>
      <c r="B4" t="s">
        <v>653</v>
      </c>
      <c r="C4" s="24">
        <v>44358</v>
      </c>
      <c r="D4" s="14">
        <v>139900</v>
      </c>
      <c r="E4" t="s">
        <v>27</v>
      </c>
      <c r="F4" t="s">
        <v>28</v>
      </c>
      <c r="G4" s="14">
        <v>139900</v>
      </c>
      <c r="H4" s="14">
        <v>81500</v>
      </c>
      <c r="I4" s="19">
        <f t="shared" ref="I4:I20" si="0">H4/G4*100</f>
        <v>58.255897069335241</v>
      </c>
      <c r="J4" s="14">
        <v>163050</v>
      </c>
      <c r="K4" s="14">
        <f>G4-130050</f>
        <v>9850</v>
      </c>
      <c r="L4" s="14">
        <v>33000</v>
      </c>
      <c r="M4" s="29">
        <v>66</v>
      </c>
      <c r="N4" s="33">
        <v>198</v>
      </c>
      <c r="O4" s="38">
        <v>0.3</v>
      </c>
      <c r="P4" s="38">
        <v>0.3</v>
      </c>
      <c r="Q4" s="14">
        <f t="shared" ref="Q4:Q20" si="1">K4/M4</f>
        <v>149.24242424242425</v>
      </c>
      <c r="R4" s="14">
        <f t="shared" ref="R4:R20" si="2">K4/O4</f>
        <v>32833.333333333336</v>
      </c>
      <c r="S4" s="43">
        <f t="shared" ref="S4:S20" si="3">K4/O4/43560</f>
        <v>0.75374961738598112</v>
      </c>
      <c r="T4" s="38">
        <v>66</v>
      </c>
      <c r="U4" s="5" t="s">
        <v>615</v>
      </c>
      <c r="V4" t="s">
        <v>654</v>
      </c>
      <c r="X4" t="s">
        <v>625</v>
      </c>
      <c r="Y4" s="6" t="s">
        <v>32</v>
      </c>
    </row>
    <row r="5" spans="1:45" x14ac:dyDescent="0.25">
      <c r="A5" t="s">
        <v>703</v>
      </c>
      <c r="B5" t="s">
        <v>704</v>
      </c>
      <c r="C5" s="24">
        <v>44832</v>
      </c>
      <c r="D5" s="14">
        <v>140000</v>
      </c>
      <c r="E5" t="s">
        <v>27</v>
      </c>
      <c r="F5" t="s">
        <v>28</v>
      </c>
      <c r="G5" s="14">
        <v>140000</v>
      </c>
      <c r="H5" s="14">
        <v>84800</v>
      </c>
      <c r="I5" s="19">
        <f t="shared" si="0"/>
        <v>60.571428571428577</v>
      </c>
      <c r="J5" s="14">
        <v>169584</v>
      </c>
      <c r="K5" s="14">
        <f>G5-99834</f>
        <v>40166</v>
      </c>
      <c r="L5" s="14">
        <v>69750</v>
      </c>
      <c r="M5" s="29">
        <v>139.5</v>
      </c>
      <c r="N5" s="33">
        <v>140.5</v>
      </c>
      <c r="O5" s="38">
        <v>0.45</v>
      </c>
      <c r="P5" s="38">
        <v>0.45</v>
      </c>
      <c r="Q5" s="14">
        <f t="shared" si="1"/>
        <v>287.92831541218641</v>
      </c>
      <c r="R5" s="14">
        <f t="shared" si="2"/>
        <v>89257.777777777781</v>
      </c>
      <c r="S5" s="43">
        <f t="shared" si="3"/>
        <v>2.0490766248342007</v>
      </c>
      <c r="T5" s="38">
        <v>139.5</v>
      </c>
      <c r="U5" s="5" t="s">
        <v>615</v>
      </c>
      <c r="V5" t="s">
        <v>705</v>
      </c>
      <c r="X5" t="s">
        <v>625</v>
      </c>
      <c r="Y5" s="6" t="s">
        <v>32</v>
      </c>
    </row>
    <row r="6" spans="1:45" x14ac:dyDescent="0.25">
      <c r="A6" t="s">
        <v>713</v>
      </c>
      <c r="B6" t="s">
        <v>714</v>
      </c>
      <c r="C6" s="24">
        <v>44544</v>
      </c>
      <c r="D6" s="14">
        <v>129900</v>
      </c>
      <c r="E6" t="s">
        <v>27</v>
      </c>
      <c r="F6" t="s">
        <v>28</v>
      </c>
      <c r="G6" s="14">
        <v>129900</v>
      </c>
      <c r="H6" s="14">
        <v>72800</v>
      </c>
      <c r="I6" s="19">
        <f t="shared" si="0"/>
        <v>56.043110084680528</v>
      </c>
      <c r="J6" s="14">
        <v>145571</v>
      </c>
      <c r="K6" s="14">
        <f>G6-97321</f>
        <v>32579</v>
      </c>
      <c r="L6" s="14">
        <v>48250</v>
      </c>
      <c r="M6" s="29">
        <v>96.5</v>
      </c>
      <c r="N6" s="33">
        <v>189.5</v>
      </c>
      <c r="O6" s="38">
        <v>0.42</v>
      </c>
      <c r="P6" s="38">
        <v>0.42</v>
      </c>
      <c r="Q6" s="14">
        <f t="shared" si="1"/>
        <v>337.6062176165803</v>
      </c>
      <c r="R6" s="14">
        <f t="shared" si="2"/>
        <v>77569.047619047618</v>
      </c>
      <c r="S6" s="43">
        <f t="shared" si="3"/>
        <v>1.7807403034675762</v>
      </c>
      <c r="T6" s="38">
        <v>96.5</v>
      </c>
      <c r="U6" s="5" t="s">
        <v>615</v>
      </c>
      <c r="V6" t="s">
        <v>715</v>
      </c>
      <c r="X6" t="s">
        <v>625</v>
      </c>
      <c r="Y6" s="6" t="s">
        <v>32</v>
      </c>
    </row>
    <row r="7" spans="1:45" x14ac:dyDescent="0.25">
      <c r="A7" t="s">
        <v>638</v>
      </c>
      <c r="B7" t="s">
        <v>639</v>
      </c>
      <c r="C7" s="24">
        <v>44908</v>
      </c>
      <c r="D7" s="14">
        <v>110000</v>
      </c>
      <c r="E7" t="s">
        <v>27</v>
      </c>
      <c r="F7" t="s">
        <v>28</v>
      </c>
      <c r="G7" s="14">
        <v>110000</v>
      </c>
      <c r="H7" s="14">
        <v>59900</v>
      </c>
      <c r="I7" s="19">
        <f t="shared" si="0"/>
        <v>54.454545454545453</v>
      </c>
      <c r="J7" s="14">
        <v>119864</v>
      </c>
      <c r="K7" s="14">
        <f>G7-86864</f>
        <v>23136</v>
      </c>
      <c r="L7" s="14">
        <v>33000</v>
      </c>
      <c r="M7" s="29">
        <v>66</v>
      </c>
      <c r="N7" s="33">
        <v>165</v>
      </c>
      <c r="O7" s="38">
        <v>0.25</v>
      </c>
      <c r="P7" s="38">
        <v>0.25</v>
      </c>
      <c r="Q7" s="14">
        <f t="shared" si="1"/>
        <v>350.54545454545456</v>
      </c>
      <c r="R7" s="14">
        <f t="shared" si="2"/>
        <v>92544</v>
      </c>
      <c r="S7" s="43">
        <f t="shared" si="3"/>
        <v>2.1245179063360879</v>
      </c>
      <c r="T7" s="38">
        <v>66</v>
      </c>
      <c r="U7" s="5" t="s">
        <v>615</v>
      </c>
      <c r="V7" t="s">
        <v>640</v>
      </c>
      <c r="X7" t="s">
        <v>625</v>
      </c>
      <c r="Y7" s="6" t="s">
        <v>32</v>
      </c>
    </row>
    <row r="8" spans="1:45" x14ac:dyDescent="0.25">
      <c r="A8" t="s">
        <v>629</v>
      </c>
      <c r="B8" t="s">
        <v>630</v>
      </c>
      <c r="C8" s="24">
        <v>44495</v>
      </c>
      <c r="D8" s="14">
        <v>144900</v>
      </c>
      <c r="E8" t="s">
        <v>27</v>
      </c>
      <c r="F8" t="s">
        <v>28</v>
      </c>
      <c r="G8" s="14">
        <v>144900</v>
      </c>
      <c r="H8" s="14">
        <v>74500</v>
      </c>
      <c r="I8" s="19">
        <f t="shared" si="0"/>
        <v>51.414768806073155</v>
      </c>
      <c r="J8" s="14">
        <v>149012</v>
      </c>
      <c r="K8" s="14">
        <f>G8-104012</f>
        <v>40888</v>
      </c>
      <c r="L8" s="14">
        <v>45000</v>
      </c>
      <c r="M8" s="29">
        <v>90</v>
      </c>
      <c r="N8" s="33">
        <v>165</v>
      </c>
      <c r="O8" s="38">
        <v>0.34100000000000003</v>
      </c>
      <c r="P8" s="38">
        <v>0.34100000000000003</v>
      </c>
      <c r="Q8" s="14">
        <f t="shared" si="1"/>
        <v>454.31111111111113</v>
      </c>
      <c r="R8" s="14">
        <f t="shared" si="2"/>
        <v>119906.15835777126</v>
      </c>
      <c r="S8" s="43">
        <f t="shared" si="3"/>
        <v>2.7526666289662822</v>
      </c>
      <c r="T8" s="38">
        <v>90</v>
      </c>
      <c r="U8" s="5" t="s">
        <v>615</v>
      </c>
      <c r="V8" t="s">
        <v>631</v>
      </c>
      <c r="X8" t="s">
        <v>625</v>
      </c>
      <c r="Y8" s="6" t="s">
        <v>32</v>
      </c>
    </row>
    <row r="9" spans="1:45" x14ac:dyDescent="0.25">
      <c r="A9" t="s">
        <v>641</v>
      </c>
      <c r="B9" t="s">
        <v>642</v>
      </c>
      <c r="C9" s="24">
        <v>44575</v>
      </c>
      <c r="D9" s="14">
        <v>90000</v>
      </c>
      <c r="E9" t="s">
        <v>27</v>
      </c>
      <c r="F9" t="s">
        <v>28</v>
      </c>
      <c r="G9" s="14">
        <v>90000</v>
      </c>
      <c r="H9" s="14">
        <v>46200</v>
      </c>
      <c r="I9" s="19">
        <f t="shared" si="0"/>
        <v>51.333333333333329</v>
      </c>
      <c r="J9" s="14">
        <v>92489</v>
      </c>
      <c r="K9" s="14">
        <f>G9-59489</f>
        <v>30511</v>
      </c>
      <c r="L9" s="14">
        <v>33000</v>
      </c>
      <c r="M9" s="29">
        <v>66</v>
      </c>
      <c r="N9" s="33">
        <v>165</v>
      </c>
      <c r="O9" s="38">
        <v>0.25</v>
      </c>
      <c r="P9" s="38">
        <v>0.25</v>
      </c>
      <c r="Q9" s="14">
        <f t="shared" si="1"/>
        <v>462.28787878787881</v>
      </c>
      <c r="R9" s="14">
        <f t="shared" si="2"/>
        <v>122044</v>
      </c>
      <c r="S9" s="43">
        <f t="shared" si="3"/>
        <v>2.8017447199265382</v>
      </c>
      <c r="T9" s="38">
        <v>66</v>
      </c>
      <c r="U9" s="5" t="s">
        <v>615</v>
      </c>
      <c r="V9" t="s">
        <v>643</v>
      </c>
      <c r="X9" t="s">
        <v>625</v>
      </c>
      <c r="Y9" s="6" t="s">
        <v>32</v>
      </c>
    </row>
    <row r="10" spans="1:45" x14ac:dyDescent="0.25">
      <c r="A10" t="s">
        <v>632</v>
      </c>
      <c r="B10" t="s">
        <v>633</v>
      </c>
      <c r="C10" s="24">
        <v>44706</v>
      </c>
      <c r="D10" s="14">
        <v>115000</v>
      </c>
      <c r="E10" t="s">
        <v>27</v>
      </c>
      <c r="F10" t="s">
        <v>28</v>
      </c>
      <c r="G10" s="14">
        <v>115000</v>
      </c>
      <c r="H10" s="14">
        <v>57500</v>
      </c>
      <c r="I10" s="19">
        <f t="shared" si="0"/>
        <v>50</v>
      </c>
      <c r="J10" s="14">
        <v>115053</v>
      </c>
      <c r="K10" s="14">
        <f>G10-82053</f>
        <v>32947</v>
      </c>
      <c r="L10" s="14">
        <v>33000</v>
      </c>
      <c r="M10" s="29">
        <v>66</v>
      </c>
      <c r="N10" s="33">
        <v>165</v>
      </c>
      <c r="O10" s="38">
        <v>0.25</v>
      </c>
      <c r="P10" s="38">
        <v>0.25</v>
      </c>
      <c r="Q10" s="14">
        <f t="shared" si="1"/>
        <v>499.19696969696969</v>
      </c>
      <c r="R10" s="14">
        <f t="shared" si="2"/>
        <v>131788</v>
      </c>
      <c r="S10" s="43">
        <f t="shared" si="3"/>
        <v>3.0254361799816345</v>
      </c>
      <c r="T10" s="38">
        <v>66</v>
      </c>
      <c r="U10" s="5" t="s">
        <v>615</v>
      </c>
      <c r="V10" t="s">
        <v>634</v>
      </c>
      <c r="X10" t="s">
        <v>625</v>
      </c>
      <c r="Y10" s="6" t="s">
        <v>32</v>
      </c>
    </row>
    <row r="11" spans="1:45" x14ac:dyDescent="0.25">
      <c r="A11" t="s">
        <v>661</v>
      </c>
      <c r="B11" t="s">
        <v>662</v>
      </c>
      <c r="C11" s="24">
        <v>45163</v>
      </c>
      <c r="D11" s="14">
        <v>175000</v>
      </c>
      <c r="E11" t="s">
        <v>620</v>
      </c>
      <c r="F11" t="s">
        <v>28</v>
      </c>
      <c r="G11" s="14">
        <v>175000</v>
      </c>
      <c r="H11" s="14">
        <v>80400</v>
      </c>
      <c r="I11" s="19">
        <f t="shared" si="0"/>
        <v>45.942857142857143</v>
      </c>
      <c r="J11" s="14">
        <v>160885</v>
      </c>
      <c r="K11" s="14">
        <f>G11-111385</f>
        <v>63615</v>
      </c>
      <c r="L11" s="14">
        <v>49500</v>
      </c>
      <c r="M11" s="29">
        <v>99</v>
      </c>
      <c r="N11" s="33">
        <v>165</v>
      </c>
      <c r="O11" s="38">
        <v>0.375</v>
      </c>
      <c r="P11" s="38">
        <v>0.375</v>
      </c>
      <c r="Q11" s="14">
        <f t="shared" si="1"/>
        <v>642.57575757575762</v>
      </c>
      <c r="R11" s="14">
        <f t="shared" si="2"/>
        <v>169640</v>
      </c>
      <c r="S11" s="43">
        <f t="shared" si="3"/>
        <v>3.8943985307621669</v>
      </c>
      <c r="T11" s="38">
        <v>99</v>
      </c>
      <c r="U11" s="5" t="s">
        <v>615</v>
      </c>
      <c r="X11" t="s">
        <v>625</v>
      </c>
      <c r="Y11" s="6" t="s">
        <v>32</v>
      </c>
    </row>
    <row r="12" spans="1:45" x14ac:dyDescent="0.25">
      <c r="A12" t="s">
        <v>626</v>
      </c>
      <c r="B12" t="s">
        <v>627</v>
      </c>
      <c r="C12" s="24">
        <v>44918</v>
      </c>
      <c r="D12" s="14">
        <v>223510</v>
      </c>
      <c r="E12" t="s">
        <v>27</v>
      </c>
      <c r="F12" t="s">
        <v>28</v>
      </c>
      <c r="G12" s="14">
        <v>223510</v>
      </c>
      <c r="H12" s="14">
        <v>97700</v>
      </c>
      <c r="I12" s="19">
        <f t="shared" si="0"/>
        <v>43.711690752091634</v>
      </c>
      <c r="J12" s="14">
        <v>195319</v>
      </c>
      <c r="K12" s="14">
        <f>G12-129319</f>
        <v>94191</v>
      </c>
      <c r="L12" s="14">
        <v>66000</v>
      </c>
      <c r="M12" s="29">
        <v>132</v>
      </c>
      <c r="N12" s="33">
        <v>165</v>
      </c>
      <c r="O12" s="38">
        <v>0.5</v>
      </c>
      <c r="P12" s="38">
        <v>0.5</v>
      </c>
      <c r="Q12" s="14">
        <f t="shared" si="1"/>
        <v>713.56818181818187</v>
      </c>
      <c r="R12" s="14">
        <f t="shared" si="2"/>
        <v>188382</v>
      </c>
      <c r="S12" s="43">
        <f t="shared" si="3"/>
        <v>4.3246556473829205</v>
      </c>
      <c r="T12" s="38">
        <v>132</v>
      </c>
      <c r="U12" s="5" t="s">
        <v>615</v>
      </c>
      <c r="V12" t="s">
        <v>628</v>
      </c>
      <c r="X12" t="s">
        <v>625</v>
      </c>
      <c r="Y12" s="6" t="s">
        <v>32</v>
      </c>
    </row>
    <row r="13" spans="1:45" x14ac:dyDescent="0.25">
      <c r="A13" t="s">
        <v>655</v>
      </c>
      <c r="B13" t="s">
        <v>656</v>
      </c>
      <c r="C13" s="24">
        <v>45020</v>
      </c>
      <c r="D13" s="14">
        <v>176500</v>
      </c>
      <c r="E13" t="s">
        <v>27</v>
      </c>
      <c r="F13" t="s">
        <v>28</v>
      </c>
      <c r="G13" s="14">
        <v>176500</v>
      </c>
      <c r="H13" s="14">
        <v>78600</v>
      </c>
      <c r="I13" s="19">
        <f t="shared" si="0"/>
        <v>44.532577903682721</v>
      </c>
      <c r="J13" s="14">
        <v>157173</v>
      </c>
      <c r="K13" s="14">
        <f>G13-115923</f>
        <v>60577</v>
      </c>
      <c r="L13" s="14">
        <v>41250</v>
      </c>
      <c r="M13" s="29">
        <v>82.5</v>
      </c>
      <c r="N13" s="33">
        <v>132</v>
      </c>
      <c r="O13" s="38">
        <v>0.25</v>
      </c>
      <c r="P13" s="38">
        <v>0.25</v>
      </c>
      <c r="Q13" s="14">
        <f t="shared" si="1"/>
        <v>734.26666666666665</v>
      </c>
      <c r="R13" s="14">
        <f t="shared" si="2"/>
        <v>242308</v>
      </c>
      <c r="S13" s="43">
        <f t="shared" si="3"/>
        <v>5.5626262626262628</v>
      </c>
      <c r="T13" s="38">
        <v>82.5</v>
      </c>
      <c r="U13" s="5" t="s">
        <v>615</v>
      </c>
      <c r="V13" t="s">
        <v>657</v>
      </c>
      <c r="X13" t="s">
        <v>625</v>
      </c>
      <c r="Y13" s="6" t="s">
        <v>32</v>
      </c>
    </row>
    <row r="14" spans="1:45" x14ac:dyDescent="0.25">
      <c r="A14" t="s">
        <v>663</v>
      </c>
      <c r="B14" t="s">
        <v>664</v>
      </c>
      <c r="C14" s="24">
        <v>44769</v>
      </c>
      <c r="D14" s="14">
        <v>255000</v>
      </c>
      <c r="E14" t="s">
        <v>27</v>
      </c>
      <c r="F14" t="s">
        <v>28</v>
      </c>
      <c r="G14" s="14">
        <v>255000</v>
      </c>
      <c r="H14" s="14">
        <v>115400</v>
      </c>
      <c r="I14" s="19">
        <f t="shared" si="0"/>
        <v>45.254901960784316</v>
      </c>
      <c r="J14" s="14">
        <v>230819</v>
      </c>
      <c r="K14" s="14">
        <f>G14-188319</f>
        <v>66681</v>
      </c>
      <c r="L14" s="14">
        <v>42500</v>
      </c>
      <c r="M14" s="29">
        <v>85</v>
      </c>
      <c r="N14" s="33">
        <v>143.5</v>
      </c>
      <c r="O14" s="38">
        <v>0.28000000000000003</v>
      </c>
      <c r="P14" s="38">
        <v>0.28000000000000003</v>
      </c>
      <c r="Q14" s="14">
        <f t="shared" si="1"/>
        <v>784.48235294117649</v>
      </c>
      <c r="R14" s="14">
        <f t="shared" si="2"/>
        <v>238146.42857142855</v>
      </c>
      <c r="S14" s="43">
        <f t="shared" si="3"/>
        <v>5.4670897284533639</v>
      </c>
      <c r="T14" s="38">
        <v>85</v>
      </c>
      <c r="U14" s="5" t="s">
        <v>615</v>
      </c>
      <c r="V14" t="s">
        <v>665</v>
      </c>
      <c r="X14" t="s">
        <v>625</v>
      </c>
      <c r="Y14" s="6" t="s">
        <v>32</v>
      </c>
    </row>
    <row r="15" spans="1:45" x14ac:dyDescent="0.25">
      <c r="A15" t="s">
        <v>706</v>
      </c>
      <c r="B15" t="s">
        <v>707</v>
      </c>
      <c r="C15" s="24">
        <v>44708</v>
      </c>
      <c r="D15" s="14">
        <v>150000</v>
      </c>
      <c r="E15" t="s">
        <v>27</v>
      </c>
      <c r="F15" t="s">
        <v>28</v>
      </c>
      <c r="G15" s="14">
        <v>150000</v>
      </c>
      <c r="H15" s="14">
        <v>64400</v>
      </c>
      <c r="I15" s="19">
        <f t="shared" si="0"/>
        <v>42.933333333333337</v>
      </c>
      <c r="J15" s="14">
        <v>128723</v>
      </c>
      <c r="K15" s="14">
        <f>G15-95723</f>
        <v>54277</v>
      </c>
      <c r="L15" s="14">
        <v>33000</v>
      </c>
      <c r="M15" s="29">
        <v>66</v>
      </c>
      <c r="N15" s="33">
        <v>290.39999399999999</v>
      </c>
      <c r="O15" s="38">
        <v>0.44</v>
      </c>
      <c r="P15" s="38">
        <v>0.44</v>
      </c>
      <c r="Q15" s="14">
        <f t="shared" si="1"/>
        <v>822.37878787878788</v>
      </c>
      <c r="R15" s="14">
        <f t="shared" si="2"/>
        <v>123356.81818181818</v>
      </c>
      <c r="S15" s="43">
        <f t="shared" si="3"/>
        <v>2.8318828783704815</v>
      </c>
      <c r="T15" s="38">
        <v>66</v>
      </c>
      <c r="U15" s="5" t="s">
        <v>615</v>
      </c>
      <c r="V15" t="s">
        <v>708</v>
      </c>
      <c r="X15" t="s">
        <v>625</v>
      </c>
      <c r="Y15" s="6" t="s">
        <v>32</v>
      </c>
    </row>
    <row r="16" spans="1:45" x14ac:dyDescent="0.25">
      <c r="A16" t="s">
        <v>719</v>
      </c>
      <c r="B16" t="s">
        <v>720</v>
      </c>
      <c r="C16" s="24">
        <v>44728</v>
      </c>
      <c r="D16" s="14">
        <v>148000</v>
      </c>
      <c r="E16" t="s">
        <v>27</v>
      </c>
      <c r="F16" t="s">
        <v>28</v>
      </c>
      <c r="G16" s="14">
        <v>148000</v>
      </c>
      <c r="H16" s="14">
        <v>62600</v>
      </c>
      <c r="I16" s="19">
        <f t="shared" si="0"/>
        <v>42.297297297297298</v>
      </c>
      <c r="J16" s="14">
        <v>125243</v>
      </c>
      <c r="K16" s="14">
        <f>G16-92243</f>
        <v>55757</v>
      </c>
      <c r="L16" s="14">
        <v>33000</v>
      </c>
      <c r="M16" s="29">
        <v>66</v>
      </c>
      <c r="N16" s="33">
        <v>165</v>
      </c>
      <c r="O16" s="38">
        <v>0.25</v>
      </c>
      <c r="P16" s="38">
        <v>0.25</v>
      </c>
      <c r="Q16" s="14">
        <f t="shared" si="1"/>
        <v>844.80303030303025</v>
      </c>
      <c r="R16" s="14">
        <f t="shared" si="2"/>
        <v>223028</v>
      </c>
      <c r="S16" s="43">
        <f t="shared" si="3"/>
        <v>5.1200183654729106</v>
      </c>
      <c r="T16" s="38">
        <v>66</v>
      </c>
      <c r="U16" s="5" t="s">
        <v>615</v>
      </c>
      <c r="V16" t="s">
        <v>721</v>
      </c>
      <c r="X16" t="s">
        <v>625</v>
      </c>
      <c r="Y16" s="6" t="s">
        <v>32</v>
      </c>
    </row>
    <row r="17" spans="1:45" x14ac:dyDescent="0.25">
      <c r="A17" t="s">
        <v>697</v>
      </c>
      <c r="B17" t="s">
        <v>698</v>
      </c>
      <c r="C17" s="24">
        <v>45084</v>
      </c>
      <c r="D17" s="14">
        <v>170000</v>
      </c>
      <c r="E17" t="s">
        <v>27</v>
      </c>
      <c r="F17" t="s">
        <v>28</v>
      </c>
      <c r="G17" s="14">
        <v>170000</v>
      </c>
      <c r="H17" s="14">
        <v>71400</v>
      </c>
      <c r="I17" s="19">
        <f t="shared" si="0"/>
        <v>42</v>
      </c>
      <c r="J17" s="14">
        <v>142714</v>
      </c>
      <c r="K17" s="14">
        <f>G17-106714</f>
        <v>63286</v>
      </c>
      <c r="L17" s="14">
        <v>36000</v>
      </c>
      <c r="M17" s="29">
        <v>72</v>
      </c>
      <c r="N17" s="33">
        <v>165</v>
      </c>
      <c r="O17" s="38">
        <v>0.27300000000000002</v>
      </c>
      <c r="P17" s="38">
        <v>0.27300000000000002</v>
      </c>
      <c r="Q17" s="14">
        <f t="shared" si="1"/>
        <v>878.97222222222217</v>
      </c>
      <c r="R17" s="14">
        <f t="shared" si="2"/>
        <v>231816.8498168498</v>
      </c>
      <c r="S17" s="43">
        <f t="shared" si="3"/>
        <v>5.3217825945098669</v>
      </c>
      <c r="T17" s="38">
        <v>72</v>
      </c>
      <c r="U17" s="5" t="s">
        <v>615</v>
      </c>
      <c r="V17" t="s">
        <v>699</v>
      </c>
      <c r="X17" t="s">
        <v>625</v>
      </c>
      <c r="Y17" s="6" t="s">
        <v>32</v>
      </c>
    </row>
    <row r="18" spans="1:45" x14ac:dyDescent="0.25">
      <c r="A18" t="s">
        <v>655</v>
      </c>
      <c r="B18" t="s">
        <v>656</v>
      </c>
      <c r="C18" s="24">
        <v>45063</v>
      </c>
      <c r="D18" s="14">
        <v>189000</v>
      </c>
      <c r="E18" t="s">
        <v>27</v>
      </c>
      <c r="F18" t="s">
        <v>28</v>
      </c>
      <c r="G18" s="14">
        <v>189000</v>
      </c>
      <c r="H18" s="14">
        <v>78600</v>
      </c>
      <c r="I18" s="19">
        <f t="shared" si="0"/>
        <v>41.587301587301589</v>
      </c>
      <c r="J18" s="14">
        <v>157173</v>
      </c>
      <c r="K18" s="14">
        <f>G18-115923</f>
        <v>73077</v>
      </c>
      <c r="L18" s="14">
        <v>41250</v>
      </c>
      <c r="M18" s="29">
        <v>82.5</v>
      </c>
      <c r="N18" s="33">
        <v>132</v>
      </c>
      <c r="O18" s="38">
        <v>0.25</v>
      </c>
      <c r="P18" s="38">
        <v>0.25</v>
      </c>
      <c r="Q18" s="14">
        <f t="shared" si="1"/>
        <v>885.78181818181815</v>
      </c>
      <c r="R18" s="14">
        <f t="shared" si="2"/>
        <v>292308</v>
      </c>
      <c r="S18" s="43">
        <f t="shared" si="3"/>
        <v>6.7104683195592285</v>
      </c>
      <c r="T18" s="38">
        <v>82.5</v>
      </c>
      <c r="U18" s="5" t="s">
        <v>615</v>
      </c>
      <c r="V18" t="s">
        <v>658</v>
      </c>
      <c r="X18" t="s">
        <v>625</v>
      </c>
      <c r="Y18" s="6" t="s">
        <v>32</v>
      </c>
    </row>
    <row r="19" spans="1:45" x14ac:dyDescent="0.25">
      <c r="A19" t="s">
        <v>622</v>
      </c>
      <c r="B19" t="s">
        <v>623</v>
      </c>
      <c r="C19" s="24">
        <v>44902</v>
      </c>
      <c r="D19" s="14">
        <v>165000</v>
      </c>
      <c r="E19" t="s">
        <v>27</v>
      </c>
      <c r="F19" t="s">
        <v>28</v>
      </c>
      <c r="G19" s="14">
        <v>165000</v>
      </c>
      <c r="H19" s="14">
        <v>65100</v>
      </c>
      <c r="I19" s="19">
        <f t="shared" si="0"/>
        <v>39.454545454545453</v>
      </c>
      <c r="J19" s="14">
        <v>130115</v>
      </c>
      <c r="K19" s="14">
        <f>G19-88865</f>
        <v>76135</v>
      </c>
      <c r="L19" s="14">
        <v>41250</v>
      </c>
      <c r="M19" s="29">
        <v>82.5</v>
      </c>
      <c r="N19" s="33">
        <v>264</v>
      </c>
      <c r="O19" s="38">
        <v>0.5</v>
      </c>
      <c r="P19" s="38">
        <v>0.5</v>
      </c>
      <c r="Q19" s="14">
        <f t="shared" si="1"/>
        <v>922.84848484848487</v>
      </c>
      <c r="R19" s="14">
        <f t="shared" si="2"/>
        <v>152270</v>
      </c>
      <c r="S19" s="43">
        <f t="shared" si="3"/>
        <v>3.4956382001836546</v>
      </c>
      <c r="T19" s="38">
        <v>82.5</v>
      </c>
      <c r="U19" s="5" t="s">
        <v>615</v>
      </c>
      <c r="V19" t="s">
        <v>624</v>
      </c>
      <c r="X19" t="s">
        <v>625</v>
      </c>
      <c r="Y19" s="6" t="s">
        <v>32</v>
      </c>
    </row>
    <row r="20" spans="1:45" ht="15.75" thickBot="1" x14ac:dyDescent="0.3">
      <c r="A20" t="s">
        <v>700</v>
      </c>
      <c r="B20" t="s">
        <v>701</v>
      </c>
      <c r="C20" s="24">
        <v>44533</v>
      </c>
      <c r="D20" s="14">
        <v>165000</v>
      </c>
      <c r="E20" t="s">
        <v>27</v>
      </c>
      <c r="F20" t="s">
        <v>28</v>
      </c>
      <c r="G20" s="14">
        <v>165000</v>
      </c>
      <c r="H20" s="14">
        <v>67200</v>
      </c>
      <c r="I20" s="19">
        <f t="shared" si="0"/>
        <v>40.727272727272727</v>
      </c>
      <c r="J20" s="14">
        <v>134310</v>
      </c>
      <c r="K20" s="14">
        <f>G20-101310</f>
        <v>63690</v>
      </c>
      <c r="L20" s="14">
        <v>33000</v>
      </c>
      <c r="M20" s="29">
        <v>66</v>
      </c>
      <c r="N20" s="33">
        <v>198</v>
      </c>
      <c r="O20" s="38">
        <v>0.3</v>
      </c>
      <c r="P20" s="38">
        <v>0.3</v>
      </c>
      <c r="Q20" s="14">
        <f t="shared" si="1"/>
        <v>965</v>
      </c>
      <c r="R20" s="14">
        <f t="shared" si="2"/>
        <v>212300</v>
      </c>
      <c r="S20" s="43">
        <f t="shared" si="3"/>
        <v>4.8737373737373737</v>
      </c>
      <c r="T20" s="38">
        <v>66</v>
      </c>
      <c r="U20" s="5" t="s">
        <v>615</v>
      </c>
      <c r="V20" t="s">
        <v>702</v>
      </c>
      <c r="X20" t="s">
        <v>625</v>
      </c>
      <c r="Y20" s="6" t="s">
        <v>32</v>
      </c>
    </row>
    <row r="21" spans="1:45" ht="15.75" thickTop="1" x14ac:dyDescent="0.25">
      <c r="A21" s="7"/>
      <c r="B21" s="7"/>
      <c r="C21" s="25" t="s">
        <v>769</v>
      </c>
      <c r="D21" s="15">
        <f>+SUM(D4:D20)</f>
        <v>2686710</v>
      </c>
      <c r="E21" s="7"/>
      <c r="F21" s="7"/>
      <c r="G21" s="15">
        <f>+SUM(G4:G20)</f>
        <v>2686710</v>
      </c>
      <c r="H21" s="15">
        <f>+SUM(H4:H20)</f>
        <v>1258600</v>
      </c>
      <c r="I21" s="20"/>
      <c r="J21" s="15">
        <f>+SUM(J4:J20)</f>
        <v>2517097</v>
      </c>
      <c r="K21" s="15">
        <f>+SUM(K4:K20)</f>
        <v>881363</v>
      </c>
      <c r="L21" s="15">
        <f>+SUM(L4:L20)</f>
        <v>711750</v>
      </c>
      <c r="M21" s="30">
        <f>+SUM(M4:M20)</f>
        <v>1423.5</v>
      </c>
      <c r="N21" s="34"/>
      <c r="O21" s="39">
        <f>+SUM(O4:O20)</f>
        <v>5.6790000000000003</v>
      </c>
      <c r="P21" s="39">
        <f>+SUM(P4:P20)</f>
        <v>5.6790000000000003</v>
      </c>
      <c r="Q21" s="15"/>
      <c r="R21" s="15"/>
      <c r="S21" s="44"/>
      <c r="T21" s="39"/>
      <c r="U21" s="8"/>
      <c r="V21" s="7"/>
      <c r="W21" s="7"/>
      <c r="X21" s="7"/>
      <c r="Y21" s="7"/>
    </row>
    <row r="22" spans="1:45" x14ac:dyDescent="0.25">
      <c r="A22" s="9"/>
      <c r="B22" s="9"/>
      <c r="C22" s="26"/>
      <c r="D22" s="16"/>
      <c r="E22" s="9"/>
      <c r="F22" s="9"/>
      <c r="G22" s="16"/>
      <c r="H22" s="16" t="s">
        <v>770</v>
      </c>
      <c r="I22" s="21">
        <f>H21/G21*100</f>
        <v>46.845398275213924</v>
      </c>
      <c r="J22" s="16"/>
      <c r="K22" s="16"/>
      <c r="L22" s="16" t="s">
        <v>771</v>
      </c>
      <c r="M22" s="31"/>
      <c r="N22" s="35"/>
      <c r="O22" s="40" t="s">
        <v>771</v>
      </c>
      <c r="P22" s="40"/>
      <c r="Q22" s="16"/>
      <c r="R22" s="16" t="s">
        <v>771</v>
      </c>
      <c r="S22" s="45"/>
      <c r="T22" s="40"/>
      <c r="U22" s="10"/>
      <c r="V22" s="9"/>
      <c r="W22" s="9"/>
      <c r="X22" s="9"/>
      <c r="Y22" s="9"/>
    </row>
    <row r="23" spans="1:45" ht="15.75" thickBot="1" x14ac:dyDescent="0.3">
      <c r="A23" s="11"/>
      <c r="B23" s="11"/>
      <c r="C23" s="27"/>
      <c r="D23" s="17"/>
      <c r="E23" s="11"/>
      <c r="F23" s="11"/>
      <c r="G23" s="17"/>
      <c r="H23" s="17" t="s">
        <v>772</v>
      </c>
      <c r="I23" s="22">
        <f>STDEV(I4:I20)</f>
        <v>6.604879655397748</v>
      </c>
      <c r="J23" s="17"/>
      <c r="K23" s="17"/>
      <c r="L23" s="16" t="s">
        <v>773</v>
      </c>
      <c r="M23" s="61">
        <f>K21/M21</f>
        <v>619.15208991921315</v>
      </c>
      <c r="N23" s="36"/>
      <c r="O23" s="41" t="s">
        <v>774</v>
      </c>
      <c r="P23" s="41">
        <f>K21/O21</f>
        <v>155196.86564536009</v>
      </c>
      <c r="Q23" s="17"/>
      <c r="R23" s="17" t="s">
        <v>775</v>
      </c>
      <c r="S23" s="46">
        <f>K21/O21/43560</f>
        <v>3.5628297898383856</v>
      </c>
      <c r="T23" s="41"/>
      <c r="U23" s="12"/>
      <c r="V23" s="11"/>
      <c r="W23" s="11"/>
      <c r="X23" s="11"/>
      <c r="Y23" s="11"/>
    </row>
    <row r="24" spans="1:45" x14ac:dyDescent="0.25">
      <c r="L24" s="49" t="s">
        <v>783</v>
      </c>
      <c r="M24" s="53">
        <v>500</v>
      </c>
      <c r="N24" s="54"/>
      <c r="O24" s="55" t="s">
        <v>791</v>
      </c>
    </row>
    <row r="25" spans="1:45" ht="15.75" thickBot="1" x14ac:dyDescent="0.3">
      <c r="L25" s="51" t="s">
        <v>784</v>
      </c>
      <c r="M25" s="56">
        <v>620</v>
      </c>
      <c r="N25" s="56">
        <v>1.4</v>
      </c>
      <c r="O25" s="57">
        <f>M25*N25</f>
        <v>868</v>
      </c>
    </row>
    <row r="27" spans="1:45" x14ac:dyDescent="0.25">
      <c r="A27" s="1" t="s">
        <v>0</v>
      </c>
      <c r="B27" s="1" t="s">
        <v>1</v>
      </c>
      <c r="C27" s="23" t="s">
        <v>2</v>
      </c>
      <c r="D27" s="13" t="s">
        <v>3</v>
      </c>
      <c r="E27" s="1" t="s">
        <v>4</v>
      </c>
      <c r="F27" s="1" t="s">
        <v>5</v>
      </c>
      <c r="G27" s="13" t="s">
        <v>6</v>
      </c>
      <c r="H27" s="13" t="s">
        <v>7</v>
      </c>
      <c r="I27" s="18" t="s">
        <v>8</v>
      </c>
      <c r="J27" s="13" t="s">
        <v>9</v>
      </c>
      <c r="K27" s="13" t="s">
        <v>10</v>
      </c>
      <c r="L27" s="13" t="s">
        <v>11</v>
      </c>
      <c r="M27" s="28" t="s">
        <v>12</v>
      </c>
      <c r="N27" s="32" t="s">
        <v>13</v>
      </c>
      <c r="O27" s="37" t="s">
        <v>14</v>
      </c>
      <c r="P27" s="37" t="s">
        <v>15</v>
      </c>
      <c r="Q27" s="13" t="s">
        <v>16</v>
      </c>
      <c r="R27" s="13" t="s">
        <v>17</v>
      </c>
      <c r="S27" s="42" t="s">
        <v>18</v>
      </c>
      <c r="T27" s="37" t="s">
        <v>19</v>
      </c>
      <c r="U27" s="3" t="s">
        <v>20</v>
      </c>
      <c r="V27" s="1" t="s">
        <v>21</v>
      </c>
      <c r="W27" s="1" t="s">
        <v>22</v>
      </c>
      <c r="X27" s="1" t="s">
        <v>23</v>
      </c>
      <c r="Y27" s="1" t="s">
        <v>24</v>
      </c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</row>
    <row r="28" spans="1:45" x14ac:dyDescent="0.25">
      <c r="A28" t="s">
        <v>693</v>
      </c>
      <c r="B28" t="s">
        <v>694</v>
      </c>
      <c r="C28" s="24">
        <v>44571</v>
      </c>
      <c r="D28" s="14">
        <v>217000</v>
      </c>
      <c r="E28" t="s">
        <v>27</v>
      </c>
      <c r="F28" t="s">
        <v>42</v>
      </c>
      <c r="G28" s="14">
        <v>217000</v>
      </c>
      <c r="H28" s="14">
        <v>69900</v>
      </c>
      <c r="I28" s="19">
        <f t="shared" ref="I28:I29" si="4">H28/G28*100</f>
        <v>32.211981566820278</v>
      </c>
      <c r="J28" s="14">
        <v>139782</v>
      </c>
      <c r="K28" s="14">
        <f>G28-95892</f>
        <v>121108</v>
      </c>
      <c r="L28" s="14">
        <v>43890</v>
      </c>
      <c r="M28" s="29">
        <v>66</v>
      </c>
      <c r="N28" s="33">
        <v>360</v>
      </c>
      <c r="O28" s="38">
        <v>0.85499999999999998</v>
      </c>
      <c r="P28" s="38">
        <v>0.54500000000000004</v>
      </c>
      <c r="Q28" s="14">
        <f t="shared" ref="Q28:Q29" si="5">K28/M28</f>
        <v>1834.969696969697</v>
      </c>
      <c r="R28" s="14">
        <f t="shared" ref="R28:R29" si="6">K28/O28</f>
        <v>141646.78362573098</v>
      </c>
      <c r="S28" s="43">
        <f t="shared" ref="S28:S29" si="7">K28/O28/43560</f>
        <v>3.2517627094979566</v>
      </c>
      <c r="T28" s="38">
        <v>66</v>
      </c>
      <c r="U28" s="5" t="s">
        <v>615</v>
      </c>
      <c r="V28" t="s">
        <v>695</v>
      </c>
      <c r="W28" t="s">
        <v>696</v>
      </c>
      <c r="X28" t="s">
        <v>669</v>
      </c>
      <c r="Y28" s="6" t="s">
        <v>32</v>
      </c>
    </row>
    <row r="29" spans="1:45" ht="15.75" thickBot="1" x14ac:dyDescent="0.3">
      <c r="A29" t="s">
        <v>666</v>
      </c>
      <c r="B29" t="s">
        <v>667</v>
      </c>
      <c r="C29" s="24">
        <v>44713</v>
      </c>
      <c r="D29" s="14">
        <v>82400</v>
      </c>
      <c r="E29" t="s">
        <v>27</v>
      </c>
      <c r="F29" t="s">
        <v>28</v>
      </c>
      <c r="G29" s="14">
        <v>82400</v>
      </c>
      <c r="H29" s="14">
        <v>35500</v>
      </c>
      <c r="I29" s="19">
        <f t="shared" si="4"/>
        <v>43.082524271844655</v>
      </c>
      <c r="J29" s="14">
        <v>70914</v>
      </c>
      <c r="K29" s="14">
        <f>G29-33607</f>
        <v>48793</v>
      </c>
      <c r="L29" s="14">
        <v>37307</v>
      </c>
      <c r="M29" s="29">
        <v>170</v>
      </c>
      <c r="N29" s="33">
        <v>135.800003</v>
      </c>
      <c r="O29" s="38">
        <v>0.53</v>
      </c>
      <c r="P29" s="38">
        <v>0.53</v>
      </c>
      <c r="Q29" s="14">
        <f t="shared" si="5"/>
        <v>287.01764705882351</v>
      </c>
      <c r="R29" s="14">
        <f t="shared" si="6"/>
        <v>92062.264150943389</v>
      </c>
      <c r="S29" s="43">
        <f t="shared" si="7"/>
        <v>2.1134587729784982</v>
      </c>
      <c r="T29" s="38">
        <v>170</v>
      </c>
      <c r="U29" s="5" t="s">
        <v>615</v>
      </c>
      <c r="V29" t="s">
        <v>668</v>
      </c>
      <c r="X29" t="s">
        <v>669</v>
      </c>
      <c r="Y29" s="6" t="s">
        <v>32</v>
      </c>
    </row>
    <row r="30" spans="1:45" ht="15.75" thickTop="1" x14ac:dyDescent="0.25">
      <c r="A30" s="7"/>
      <c r="B30" s="7"/>
      <c r="C30" s="25" t="s">
        <v>769</v>
      </c>
      <c r="D30" s="15">
        <f>+SUM(D28:D29)</f>
        <v>299400</v>
      </c>
      <c r="E30" s="7"/>
      <c r="F30" s="7"/>
      <c r="G30" s="15">
        <f>+SUM(G28:G29)</f>
        <v>299400</v>
      </c>
      <c r="H30" s="15">
        <f>+SUM(H28:H29)</f>
        <v>105400</v>
      </c>
      <c r="I30" s="20"/>
      <c r="J30" s="15">
        <f>+SUM(J28:J29)</f>
        <v>210696</v>
      </c>
      <c r="K30" s="15">
        <f>+SUM(K28:K29)</f>
        <v>169901</v>
      </c>
      <c r="L30" s="15">
        <f>+SUM(L28:L29)</f>
        <v>81197</v>
      </c>
      <c r="M30" s="30">
        <f>+SUM(M28:M29)</f>
        <v>236</v>
      </c>
      <c r="N30" s="34"/>
      <c r="O30" s="39">
        <f>+SUM(O28:O29)</f>
        <v>1.385</v>
      </c>
      <c r="P30" s="39">
        <f>+SUM(P28:P29)</f>
        <v>1.0750000000000002</v>
      </c>
      <c r="Q30" s="15"/>
      <c r="R30" s="15"/>
      <c r="S30" s="44"/>
      <c r="T30" s="39"/>
      <c r="U30" s="8"/>
      <c r="V30" s="7"/>
      <c r="W30" s="7"/>
      <c r="X30" s="7"/>
      <c r="Y30" s="7"/>
    </row>
    <row r="31" spans="1:45" x14ac:dyDescent="0.25">
      <c r="A31" s="9"/>
      <c r="B31" s="9"/>
      <c r="C31" s="26"/>
      <c r="D31" s="16"/>
      <c r="E31" s="9"/>
      <c r="F31" s="9"/>
      <c r="G31" s="16"/>
      <c r="H31" s="16" t="s">
        <v>770</v>
      </c>
      <c r="I31" s="21">
        <f>H30/G30*100</f>
        <v>35.203740814963261</v>
      </c>
      <c r="J31" s="16"/>
      <c r="K31" s="16"/>
      <c r="L31" s="16" t="s">
        <v>771</v>
      </c>
      <c r="M31" s="31"/>
      <c r="N31" s="35"/>
      <c r="O31" s="40" t="s">
        <v>771</v>
      </c>
      <c r="P31" s="40"/>
      <c r="Q31" s="16"/>
      <c r="R31" s="16" t="s">
        <v>771</v>
      </c>
      <c r="S31" s="45"/>
      <c r="T31" s="40"/>
      <c r="U31" s="10"/>
      <c r="V31" s="9"/>
      <c r="W31" s="9"/>
      <c r="X31" s="9"/>
      <c r="Y31" s="9"/>
    </row>
    <row r="32" spans="1:45" ht="15.75" thickBot="1" x14ac:dyDescent="0.3">
      <c r="A32" s="11"/>
      <c r="B32" s="11"/>
      <c r="C32" s="27"/>
      <c r="D32" s="17"/>
      <c r="E32" s="11"/>
      <c r="F32" s="11"/>
      <c r="G32" s="17"/>
      <c r="H32" s="17" t="s">
        <v>772</v>
      </c>
      <c r="I32" s="22">
        <f>STDEV(I28:I29)</f>
        <v>7.686634461900681</v>
      </c>
      <c r="J32" s="17"/>
      <c r="K32" s="17"/>
      <c r="L32" s="17" t="s">
        <v>773</v>
      </c>
      <c r="M32" s="47">
        <f>K30/M30</f>
        <v>719.91949152542372</v>
      </c>
      <c r="N32" s="36"/>
      <c r="O32" s="41" t="s">
        <v>774</v>
      </c>
      <c r="P32" s="41">
        <f>K30/O30</f>
        <v>122672.20216606498</v>
      </c>
      <c r="Q32" s="17"/>
      <c r="R32" s="17" t="s">
        <v>775</v>
      </c>
      <c r="S32" s="46">
        <f>K30/O30/43560</f>
        <v>2.8161662572558535</v>
      </c>
      <c r="T32" s="41"/>
      <c r="U32" s="12"/>
      <c r="V32" s="11"/>
      <c r="W32" s="11"/>
      <c r="X32" s="11"/>
      <c r="Y32" s="11"/>
    </row>
    <row r="33" spans="12:15" x14ac:dyDescent="0.25">
      <c r="L33" s="49" t="s">
        <v>795</v>
      </c>
      <c r="M33" s="53">
        <v>720</v>
      </c>
      <c r="N33" s="54"/>
      <c r="O33" s="55" t="s">
        <v>796</v>
      </c>
    </row>
    <row r="34" spans="12:15" ht="15.75" thickBot="1" x14ac:dyDescent="0.3">
      <c r="L34" s="51" t="s">
        <v>794</v>
      </c>
      <c r="M34" s="56">
        <v>620</v>
      </c>
      <c r="N34" s="56"/>
      <c r="O34" s="52">
        <f>((M33-M34)/M34*100)/100+1</f>
        <v>1.1612903225806452</v>
      </c>
    </row>
  </sheetData>
  <sortState xmlns:xlrd2="http://schemas.microsoft.com/office/spreadsheetml/2017/richdata2" ref="A4:AS20">
    <sortCondition ref="Q4:Q20"/>
  </sortState>
  <conditionalFormatting sqref="A4:Y20">
    <cfRule type="expression" dxfId="3" priority="3" stopIfTrue="1">
      <formula>MOD(ROW(),4)&gt;1</formula>
    </cfRule>
    <cfRule type="expression" dxfId="2" priority="4" stopIfTrue="1">
      <formula>MOD(ROW(),4)&lt;2</formula>
    </cfRule>
  </conditionalFormatting>
  <conditionalFormatting sqref="A28:Y29">
    <cfRule type="expression" dxfId="1" priority="1" stopIfTrue="1">
      <formula>MOD(ROW(),4)&gt;1</formula>
    </cfRule>
    <cfRule type="expression" dxfId="0" priority="2" stopIfTrue="1">
      <formula>MOD(ROW(),4)&lt;2</formula>
    </cfRule>
  </conditionalFormatting>
  <pageMargins left="0.7" right="0.7" top="0.75" bottom="0.75" header="0.3" footer="0.3"/>
  <pageSetup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B64B1-C270-48C7-B9AB-954B30B137C5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Land Analysis-Data Dump</vt:lpstr>
      <vt:lpstr>PRE-MODERN SUB</vt:lpstr>
      <vt:lpstr>RURAL RES &amp; VILLAGE ALT</vt:lpstr>
      <vt:lpstr>RURAL RES &amp; VILLAGE ALT WATER</vt:lpstr>
      <vt:lpstr>RURAL SUB</vt:lpstr>
      <vt:lpstr>SUBDIVISION-MODERN</vt:lpstr>
      <vt:lpstr>TRADITIONAL VILLAGE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 Preston</dc:creator>
  <cp:lastModifiedBy>Pete Preston</cp:lastModifiedBy>
  <dcterms:created xsi:type="dcterms:W3CDTF">2024-02-16T14:47:23Z</dcterms:created>
  <dcterms:modified xsi:type="dcterms:W3CDTF">2024-08-01T03:06:27Z</dcterms:modified>
</cp:coreProperties>
</file>