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 Preston\PCS Dropbox\Pete Preston\WINDSOR\2024\2024 ASSESSMENT ROLL\COM-IND\"/>
    </mc:Choice>
  </mc:AlternateContent>
  <xr:revisionPtr revIDLastSave="0" documentId="13_ncr:1_{94032488-2015-48E9-A599-BFB1861CFEE5}" xr6:coauthVersionLast="47" xr6:coauthVersionMax="47" xr10:uidLastSave="{00000000-0000-0000-0000-000000000000}"/>
  <bookViews>
    <workbookView xWindow="5205" yWindow="2880" windowWidth="9075" windowHeight="11385" xr2:uid="{B50DEB9C-7381-4900-BEB1-6E6E70F077A6}"/>
  </bookViews>
  <sheets>
    <sheet name="Land Analysis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8" i="2" l="1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07" i="2"/>
  <c r="T265" i="2"/>
  <c r="T266" i="2"/>
  <c r="T267" i="2"/>
  <c r="T268" i="2"/>
  <c r="T269" i="2"/>
  <c r="T264" i="2"/>
  <c r="R270" i="2"/>
  <c r="Q270" i="2"/>
  <c r="O270" i="2"/>
  <c r="N270" i="2"/>
  <c r="L270" i="2"/>
  <c r="J270" i="2"/>
  <c r="F270" i="2"/>
  <c r="M266" i="2"/>
  <c r="K266" i="2"/>
  <c r="M265" i="2"/>
  <c r="S265" i="2" s="1"/>
  <c r="K265" i="2"/>
  <c r="M269" i="2"/>
  <c r="K269" i="2"/>
  <c r="I264" i="2"/>
  <c r="K264" i="2" s="1"/>
  <c r="I268" i="2"/>
  <c r="K268" i="2" s="1"/>
  <c r="M267" i="2"/>
  <c r="U267" i="2" s="1"/>
  <c r="B282" i="2" s="1"/>
  <c r="K267" i="2"/>
  <c r="R230" i="2"/>
  <c r="Q230" i="2"/>
  <c r="O230" i="2"/>
  <c r="N230" i="2"/>
  <c r="L230" i="2"/>
  <c r="J230" i="2"/>
  <c r="F230" i="2"/>
  <c r="M227" i="2"/>
  <c r="S227" i="2" s="1"/>
  <c r="K227" i="2"/>
  <c r="I229" i="2"/>
  <c r="M229" i="2" s="1"/>
  <c r="M228" i="2"/>
  <c r="U228" i="2" s="1"/>
  <c r="K228" i="2"/>
  <c r="R195" i="2"/>
  <c r="Q195" i="2"/>
  <c r="O195" i="2"/>
  <c r="N195" i="2"/>
  <c r="L195" i="2"/>
  <c r="J195" i="2"/>
  <c r="F195" i="2"/>
  <c r="I194" i="2"/>
  <c r="K194" i="2" s="1"/>
  <c r="R188" i="2"/>
  <c r="Q188" i="2"/>
  <c r="O188" i="2"/>
  <c r="N188" i="2"/>
  <c r="L188" i="2"/>
  <c r="J188" i="2"/>
  <c r="F188" i="2"/>
  <c r="I187" i="2"/>
  <c r="K187" i="2" s="1"/>
  <c r="I186" i="2"/>
  <c r="M186" i="2" s="1"/>
  <c r="R180" i="2"/>
  <c r="Q180" i="2"/>
  <c r="O180" i="2"/>
  <c r="N180" i="2"/>
  <c r="L180" i="2"/>
  <c r="J180" i="2"/>
  <c r="F180" i="2"/>
  <c r="I179" i="2"/>
  <c r="R173" i="2"/>
  <c r="Q173" i="2"/>
  <c r="O173" i="2"/>
  <c r="N173" i="2"/>
  <c r="L173" i="2"/>
  <c r="J173" i="2"/>
  <c r="F173" i="2"/>
  <c r="I170" i="2"/>
  <c r="M170" i="2" s="1"/>
  <c r="I171" i="2"/>
  <c r="M171" i="2" s="1"/>
  <c r="I172" i="2"/>
  <c r="M172" i="2" s="1"/>
  <c r="I169" i="2"/>
  <c r="M169" i="2" s="1"/>
  <c r="M121" i="2"/>
  <c r="U121" i="2" s="1"/>
  <c r="K121" i="2"/>
  <c r="M111" i="2"/>
  <c r="U111" i="2" s="1"/>
  <c r="K111" i="2"/>
  <c r="R131" i="2"/>
  <c r="Q131" i="2"/>
  <c r="O131" i="2"/>
  <c r="N131" i="2"/>
  <c r="L131" i="2"/>
  <c r="J131" i="2"/>
  <c r="F131" i="2"/>
  <c r="M130" i="2"/>
  <c r="U130" i="2" s="1"/>
  <c r="K130" i="2"/>
  <c r="I131" i="2"/>
  <c r="R124" i="2"/>
  <c r="Q124" i="2"/>
  <c r="O124" i="2"/>
  <c r="N124" i="2"/>
  <c r="L124" i="2"/>
  <c r="J124" i="2"/>
  <c r="F124" i="2"/>
  <c r="M123" i="2"/>
  <c r="U123" i="2" s="1"/>
  <c r="K123" i="2"/>
  <c r="I122" i="2"/>
  <c r="M122" i="2" s="1"/>
  <c r="M120" i="2"/>
  <c r="U120" i="2" s="1"/>
  <c r="K120" i="2"/>
  <c r="R114" i="2"/>
  <c r="Q114" i="2"/>
  <c r="O114" i="2"/>
  <c r="N114" i="2"/>
  <c r="L114" i="2"/>
  <c r="J114" i="2"/>
  <c r="F114" i="2"/>
  <c r="M113" i="2"/>
  <c r="U113" i="2" s="1"/>
  <c r="K113" i="2"/>
  <c r="M112" i="2"/>
  <c r="U112" i="2" s="1"/>
  <c r="K112" i="2"/>
  <c r="I110" i="2"/>
  <c r="K110" i="2" s="1"/>
  <c r="M109" i="2"/>
  <c r="U109" i="2" s="1"/>
  <c r="K109" i="2"/>
  <c r="R74" i="2"/>
  <c r="Q74" i="2"/>
  <c r="O74" i="2"/>
  <c r="N74" i="2"/>
  <c r="L74" i="2"/>
  <c r="J74" i="2"/>
  <c r="F74" i="2"/>
  <c r="I73" i="2"/>
  <c r="K73" i="2" s="1"/>
  <c r="R67" i="2"/>
  <c r="Q67" i="2"/>
  <c r="O67" i="2"/>
  <c r="N67" i="2"/>
  <c r="L67" i="2"/>
  <c r="J67" i="2"/>
  <c r="F67" i="2"/>
  <c r="I66" i="2"/>
  <c r="K66" i="2" s="1"/>
  <c r="R60" i="2"/>
  <c r="Q60" i="2"/>
  <c r="O60" i="2"/>
  <c r="N60" i="2"/>
  <c r="L60" i="2"/>
  <c r="J60" i="2"/>
  <c r="F60" i="2"/>
  <c r="M59" i="2"/>
  <c r="U59" i="2" s="1"/>
  <c r="K59" i="2"/>
  <c r="M58" i="2"/>
  <c r="U58" i="2" s="1"/>
  <c r="K58" i="2"/>
  <c r="R52" i="2"/>
  <c r="Q52" i="2"/>
  <c r="O52" i="2"/>
  <c r="N52" i="2"/>
  <c r="L52" i="2"/>
  <c r="J52" i="2"/>
  <c r="F52" i="2"/>
  <c r="I51" i="2"/>
  <c r="M51" i="2" s="1"/>
  <c r="M50" i="2"/>
  <c r="S50" i="2" s="1"/>
  <c r="K50" i="2"/>
  <c r="I49" i="2"/>
  <c r="R43" i="2"/>
  <c r="Q43" i="2"/>
  <c r="O43" i="2"/>
  <c r="N43" i="2"/>
  <c r="L43" i="2"/>
  <c r="J43" i="2"/>
  <c r="F43" i="2"/>
  <c r="I42" i="2"/>
  <c r="K42" i="2" s="1"/>
  <c r="I38" i="2"/>
  <c r="M38" i="2" s="1"/>
  <c r="M40" i="2"/>
  <c r="U40" i="2" s="1"/>
  <c r="K40" i="2"/>
  <c r="M37" i="2"/>
  <c r="U37" i="2" s="1"/>
  <c r="K37" i="2"/>
  <c r="I41" i="2"/>
  <c r="K41" i="2" s="1"/>
  <c r="M39" i="2"/>
  <c r="U39" i="2" s="1"/>
  <c r="K39" i="2"/>
  <c r="I36" i="2"/>
  <c r="R28" i="2"/>
  <c r="Q28" i="2"/>
  <c r="O28" i="2"/>
  <c r="N28" i="2"/>
  <c r="L28" i="2"/>
  <c r="J28" i="2"/>
  <c r="F28" i="2"/>
  <c r="M27" i="2"/>
  <c r="U27" i="2" s="1"/>
  <c r="K27" i="2"/>
  <c r="M26" i="2"/>
  <c r="U26" i="2" s="1"/>
  <c r="K26" i="2"/>
  <c r="M25" i="2"/>
  <c r="T25" i="2" s="1"/>
  <c r="K25" i="2"/>
  <c r="I24" i="2"/>
  <c r="M24" i="2" s="1"/>
  <c r="I23" i="2"/>
  <c r="M23" i="2" s="1"/>
  <c r="M22" i="2"/>
  <c r="U22" i="2" s="1"/>
  <c r="K22" i="2"/>
  <c r="I21" i="2"/>
  <c r="M21" i="2" s="1"/>
  <c r="I20" i="2"/>
  <c r="M20" i="2" s="1"/>
  <c r="I19" i="2"/>
  <c r="M19" i="2" s="1"/>
  <c r="I18" i="2"/>
  <c r="M18" i="2" s="1"/>
  <c r="M17" i="2"/>
  <c r="T17" i="2" s="1"/>
  <c r="K17" i="2"/>
  <c r="I16" i="2"/>
  <c r="M16" i="2" s="1"/>
  <c r="M15" i="2"/>
  <c r="U15" i="2" s="1"/>
  <c r="K15" i="2"/>
  <c r="I14" i="2"/>
  <c r="M14" i="2" s="1"/>
  <c r="M13" i="2"/>
  <c r="U13" i="2" s="1"/>
  <c r="K13" i="2"/>
  <c r="M12" i="2"/>
  <c r="U12" i="2" s="1"/>
  <c r="K12" i="2"/>
  <c r="M11" i="2"/>
  <c r="U11" i="2" s="1"/>
  <c r="K11" i="2"/>
  <c r="I10" i="2"/>
  <c r="M9" i="2"/>
  <c r="U9" i="2" s="1"/>
  <c r="K9" i="2"/>
  <c r="I8" i="2"/>
  <c r="M8" i="2" s="1"/>
  <c r="M7" i="2"/>
  <c r="T7" i="2" s="1"/>
  <c r="K7" i="2"/>
  <c r="M6" i="2"/>
  <c r="U6" i="2" s="1"/>
  <c r="K6" i="2"/>
  <c r="I5" i="2"/>
  <c r="M5" i="2" s="1"/>
  <c r="M4" i="2"/>
  <c r="S4" i="2" s="1"/>
  <c r="K4" i="2"/>
  <c r="I3" i="2"/>
  <c r="K3" i="2" s="1"/>
  <c r="U269" i="2" l="1"/>
  <c r="S266" i="2"/>
  <c r="M268" i="2"/>
  <c r="S268" i="2" s="1"/>
  <c r="U266" i="2"/>
  <c r="S269" i="2"/>
  <c r="I270" i="2"/>
  <c r="K271" i="2" s="1"/>
  <c r="M264" i="2"/>
  <c r="S267" i="2"/>
  <c r="U265" i="2"/>
  <c r="B281" i="2" s="1"/>
  <c r="S228" i="2"/>
  <c r="T227" i="2"/>
  <c r="B241" i="2" s="1"/>
  <c r="I230" i="2"/>
  <c r="K231" i="2" s="1"/>
  <c r="U229" i="2"/>
  <c r="T229" i="2"/>
  <c r="B252" i="2" s="1"/>
  <c r="S229" i="2"/>
  <c r="T228" i="2"/>
  <c r="B243" i="2" s="1"/>
  <c r="U227" i="2"/>
  <c r="K229" i="2"/>
  <c r="M194" i="2"/>
  <c r="U194" i="2" s="1"/>
  <c r="I195" i="2"/>
  <c r="K196" i="2" s="1"/>
  <c r="K197" i="2"/>
  <c r="M187" i="2"/>
  <c r="U187" i="2" s="1"/>
  <c r="I188" i="2"/>
  <c r="K189" i="2" s="1"/>
  <c r="T186" i="2"/>
  <c r="U186" i="2"/>
  <c r="S186" i="2"/>
  <c r="K186" i="2"/>
  <c r="I180" i="2"/>
  <c r="K181" i="2" s="1"/>
  <c r="M179" i="2"/>
  <c r="K179" i="2"/>
  <c r="I173" i="2"/>
  <c r="K174" i="2" s="1"/>
  <c r="K172" i="2"/>
  <c r="S170" i="2"/>
  <c r="U170" i="2"/>
  <c r="S172" i="2"/>
  <c r="U172" i="2"/>
  <c r="K170" i="2"/>
  <c r="U171" i="2"/>
  <c r="T171" i="2"/>
  <c r="S171" i="2"/>
  <c r="U169" i="2"/>
  <c r="T169" i="2"/>
  <c r="S169" i="2"/>
  <c r="T172" i="2"/>
  <c r="T170" i="2"/>
  <c r="K169" i="2"/>
  <c r="K171" i="2"/>
  <c r="K132" i="2"/>
  <c r="T121" i="2"/>
  <c r="S121" i="2"/>
  <c r="S111" i="2"/>
  <c r="T111" i="2"/>
  <c r="S130" i="2"/>
  <c r="T130" i="2"/>
  <c r="I124" i="2"/>
  <c r="K125" i="2" s="1"/>
  <c r="K133" i="2"/>
  <c r="K122" i="2"/>
  <c r="K126" i="2" s="1"/>
  <c r="U122" i="2"/>
  <c r="T122" i="2"/>
  <c r="S122" i="2"/>
  <c r="S123" i="2"/>
  <c r="M124" i="2"/>
  <c r="S120" i="2"/>
  <c r="T123" i="2"/>
  <c r="T120" i="2"/>
  <c r="S109" i="2"/>
  <c r="T109" i="2"/>
  <c r="I114" i="2"/>
  <c r="K115" i="2" s="1"/>
  <c r="S113" i="2"/>
  <c r="T113" i="2"/>
  <c r="T112" i="2"/>
  <c r="M110" i="2"/>
  <c r="U110" i="2" s="1"/>
  <c r="S112" i="2"/>
  <c r="I52" i="2"/>
  <c r="K53" i="2" s="1"/>
  <c r="I74" i="2"/>
  <c r="K75" i="2" s="1"/>
  <c r="I67" i="2"/>
  <c r="K68" i="2" s="1"/>
  <c r="M73" i="2"/>
  <c r="U73" i="2" s="1"/>
  <c r="K76" i="2"/>
  <c r="M66" i="2"/>
  <c r="K69" i="2"/>
  <c r="I60" i="2"/>
  <c r="K61" i="2" s="1"/>
  <c r="S58" i="2"/>
  <c r="T58" i="2"/>
  <c r="S59" i="2"/>
  <c r="K62" i="2"/>
  <c r="T59" i="2"/>
  <c r="U51" i="2"/>
  <c r="T51" i="2"/>
  <c r="S51" i="2"/>
  <c r="T50" i="2"/>
  <c r="U50" i="2"/>
  <c r="K51" i="2"/>
  <c r="K49" i="2"/>
  <c r="M49" i="2"/>
  <c r="S25" i="2"/>
  <c r="I43" i="2"/>
  <c r="K44" i="2" s="1"/>
  <c r="S27" i="2"/>
  <c r="S37" i="2"/>
  <c r="T37" i="2"/>
  <c r="S38" i="2"/>
  <c r="T38" i="2"/>
  <c r="U25" i="2"/>
  <c r="K38" i="2"/>
  <c r="T4" i="2"/>
  <c r="U4" i="2"/>
  <c r="S39" i="2"/>
  <c r="U38" i="2"/>
  <c r="T39" i="2"/>
  <c r="S11" i="2"/>
  <c r="K19" i="2"/>
  <c r="K36" i="2"/>
  <c r="M41" i="2"/>
  <c r="T40" i="2"/>
  <c r="M42" i="2"/>
  <c r="S40" i="2"/>
  <c r="M36" i="2"/>
  <c r="U7" i="2"/>
  <c r="T6" i="2"/>
  <c r="K21" i="2"/>
  <c r="S17" i="2"/>
  <c r="T27" i="2"/>
  <c r="U17" i="2"/>
  <c r="S13" i="2"/>
  <c r="K8" i="2"/>
  <c r="T13" i="2"/>
  <c r="K18" i="2"/>
  <c r="M3" i="2"/>
  <c r="U3" i="2" s="1"/>
  <c r="I28" i="2"/>
  <c r="K29" i="2" s="1"/>
  <c r="T15" i="2"/>
  <c r="K20" i="2"/>
  <c r="S23" i="2"/>
  <c r="U23" i="2"/>
  <c r="T23" i="2"/>
  <c r="U18" i="2"/>
  <c r="T18" i="2"/>
  <c r="S18" i="2"/>
  <c r="U16" i="2"/>
  <c r="T16" i="2"/>
  <c r="S16" i="2"/>
  <c r="U14" i="2"/>
  <c r="T14" i="2"/>
  <c r="S14" i="2"/>
  <c r="U19" i="2"/>
  <c r="T19" i="2"/>
  <c r="S19" i="2"/>
  <c r="U21" i="2"/>
  <c r="T21" i="2"/>
  <c r="S21" i="2"/>
  <c r="U8" i="2"/>
  <c r="T8" i="2"/>
  <c r="S8" i="2"/>
  <c r="T5" i="2"/>
  <c r="U5" i="2"/>
  <c r="S5" i="2"/>
  <c r="T20" i="2"/>
  <c r="S20" i="2"/>
  <c r="U20" i="2"/>
  <c r="U24" i="2"/>
  <c r="T24" i="2"/>
  <c r="S24" i="2"/>
  <c r="S6" i="2"/>
  <c r="S15" i="2"/>
  <c r="K24" i="2"/>
  <c r="S26" i="2"/>
  <c r="T26" i="2"/>
  <c r="S9" i="2"/>
  <c r="T11" i="2"/>
  <c r="K16" i="2"/>
  <c r="S22" i="2"/>
  <c r="K5" i="2"/>
  <c r="S7" i="2"/>
  <c r="T9" i="2"/>
  <c r="K14" i="2"/>
  <c r="T22" i="2"/>
  <c r="K10" i="2"/>
  <c r="S12" i="2"/>
  <c r="K23" i="2"/>
  <c r="M10" i="2"/>
  <c r="T12" i="2"/>
  <c r="U268" i="2" l="1"/>
  <c r="B284" i="2" s="1"/>
  <c r="U264" i="2"/>
  <c r="B280" i="2" s="1"/>
  <c r="S264" i="2"/>
  <c r="K272" i="2"/>
  <c r="M270" i="2"/>
  <c r="T194" i="2"/>
  <c r="M230" i="2"/>
  <c r="K232" i="2"/>
  <c r="S194" i="2"/>
  <c r="S187" i="2"/>
  <c r="M195" i="2"/>
  <c r="T187" i="2"/>
  <c r="M188" i="2"/>
  <c r="O190" i="2" s="1"/>
  <c r="K190" i="2"/>
  <c r="K182" i="2"/>
  <c r="S179" i="2"/>
  <c r="U179" i="2"/>
  <c r="M180" i="2"/>
  <c r="T179" i="2"/>
  <c r="M173" i="2"/>
  <c r="K175" i="2"/>
  <c r="M131" i="2"/>
  <c r="U126" i="2"/>
  <c r="R126" i="2"/>
  <c r="B143" i="2" s="1"/>
  <c r="O126" i="2"/>
  <c r="T110" i="2"/>
  <c r="S110" i="2"/>
  <c r="S73" i="2"/>
  <c r="K116" i="2"/>
  <c r="T73" i="2"/>
  <c r="M114" i="2"/>
  <c r="M74" i="2"/>
  <c r="U76" i="2" s="1"/>
  <c r="U66" i="2"/>
  <c r="S66" i="2"/>
  <c r="T66" i="2"/>
  <c r="M67" i="2"/>
  <c r="M60" i="2"/>
  <c r="T49" i="2"/>
  <c r="S49" i="2"/>
  <c r="U49" i="2"/>
  <c r="M52" i="2"/>
  <c r="K54" i="2"/>
  <c r="M28" i="2"/>
  <c r="R30" i="2" s="1"/>
  <c r="K45" i="2"/>
  <c r="U42" i="2"/>
  <c r="T42" i="2"/>
  <c r="S42" i="2"/>
  <c r="U36" i="2"/>
  <c r="T36" i="2"/>
  <c r="S36" i="2"/>
  <c r="M43" i="2"/>
  <c r="S3" i="2"/>
  <c r="U41" i="2"/>
  <c r="T41" i="2"/>
  <c r="S41" i="2"/>
  <c r="K30" i="2"/>
  <c r="T3" i="2"/>
  <c r="S10" i="2"/>
  <c r="U10" i="2"/>
  <c r="T10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R272" i="2" l="1"/>
  <c r="U272" i="2"/>
  <c r="O272" i="2"/>
  <c r="U232" i="2"/>
  <c r="R232" i="2"/>
  <c r="O232" i="2"/>
  <c r="U197" i="2"/>
  <c r="R197" i="2"/>
  <c r="B209" i="2" s="1"/>
  <c r="O197" i="2"/>
  <c r="R190" i="2"/>
  <c r="B207" i="2" s="1"/>
  <c r="U190" i="2"/>
  <c r="U182" i="2"/>
  <c r="R182" i="2"/>
  <c r="B205" i="2" s="1"/>
  <c r="O182" i="2"/>
  <c r="U175" i="2"/>
  <c r="O175" i="2"/>
  <c r="R175" i="2"/>
  <c r="U133" i="2"/>
  <c r="R133" i="2"/>
  <c r="B151" i="2" s="1"/>
  <c r="O133" i="2"/>
  <c r="O76" i="2"/>
  <c r="R76" i="2"/>
  <c r="B91" i="2" s="1"/>
  <c r="U116" i="2"/>
  <c r="R116" i="2"/>
  <c r="O116" i="2"/>
  <c r="U69" i="2"/>
  <c r="O69" i="2"/>
  <c r="R69" i="2"/>
  <c r="B90" i="2" s="1"/>
  <c r="U62" i="2"/>
  <c r="R62" i="2"/>
  <c r="B84" i="2" s="1"/>
  <c r="O62" i="2"/>
  <c r="U54" i="2"/>
  <c r="R54" i="2"/>
  <c r="B83" i="2" s="1"/>
  <c r="O54" i="2"/>
  <c r="U30" i="2"/>
  <c r="O30" i="2"/>
  <c r="U45" i="2"/>
  <c r="R45" i="2"/>
  <c r="O45" i="2"/>
</calcChain>
</file>

<file path=xl/sharedStrings.xml><?xml version="1.0" encoding="utf-8"?>
<sst xmlns="http://schemas.openxmlformats.org/spreadsheetml/2006/main" count="1306" uniqueCount="162">
  <si>
    <t>Parcel Number</t>
  </si>
  <si>
    <t>Street Address</t>
  </si>
  <si>
    <t>Sale Date</t>
  </si>
  <si>
    <t>Sale Price</t>
  </si>
  <si>
    <t>Instr.</t>
  </si>
  <si>
    <t>Terms of Sale</t>
  </si>
  <si>
    <t>Adj. Sale $</t>
  </si>
  <si>
    <t>Cur. Asmnt.</t>
  </si>
  <si>
    <t>Asd/Adj. Sale</t>
  </si>
  <si>
    <t>Cur. Appraisal</t>
  </si>
  <si>
    <t>Land Residual</t>
  </si>
  <si>
    <t>Est. Land Value</t>
  </si>
  <si>
    <t>Effec. Front</t>
  </si>
  <si>
    <t>Depth</t>
  </si>
  <si>
    <t>Net Acres</t>
  </si>
  <si>
    <t>Total Acres</t>
  </si>
  <si>
    <t>Dollars/FF</t>
  </si>
  <si>
    <t>Dollars/Acre</t>
  </si>
  <si>
    <t>Dollars/SqFt</t>
  </si>
  <si>
    <t>Actual Front</t>
  </si>
  <si>
    <t>ECF Area</t>
  </si>
  <si>
    <t>Liber/Page</t>
  </si>
  <si>
    <t>Other Parcels in Sale</t>
  </si>
  <si>
    <t>Land Table</t>
  </si>
  <si>
    <t>Gravel</t>
  </si>
  <si>
    <t>Paved</t>
  </si>
  <si>
    <t>Inspected Date</t>
  </si>
  <si>
    <t>Use Code</t>
  </si>
  <si>
    <t>Class</t>
  </si>
  <si>
    <t>WD</t>
  </si>
  <si>
    <t>03-ARM'S LENGTH</t>
  </si>
  <si>
    <t>IND</t>
  </si>
  <si>
    <t>NOT INSPECTED</t>
  </si>
  <si>
    <t>301</t>
  </si>
  <si>
    <t>COM-T</t>
  </si>
  <si>
    <t>PARK COMMERCIAL</t>
  </si>
  <si>
    <t>201</t>
  </si>
  <si>
    <t>19-MULTI PARCEL ARM'S LENGTH</t>
  </si>
  <si>
    <t>COMMERCIAL- LANSING RD</t>
  </si>
  <si>
    <t>202</t>
  </si>
  <si>
    <t>080-009-200-153-00</t>
  </si>
  <si>
    <t>6874 LANSING RD</t>
  </si>
  <si>
    <t>LC</t>
  </si>
  <si>
    <t>PTA</t>
  </si>
  <si>
    <t>080-009-205-341-00</t>
  </si>
  <si>
    <t>6703 LANSING RD</t>
  </si>
  <si>
    <t>2986 0777</t>
  </si>
  <si>
    <t>080-013-200-045-00</t>
  </si>
  <si>
    <t>5943 N MICHIGAN RD</t>
  </si>
  <si>
    <t>2870 0801</t>
  </si>
  <si>
    <t>COMMERCIAL- M99</t>
  </si>
  <si>
    <t>080-018-400-110-00</t>
  </si>
  <si>
    <t>5065 LANSING RD</t>
  </si>
  <si>
    <t>33-TO BE DETERMINED</t>
  </si>
  <si>
    <t>2727 850</t>
  </si>
  <si>
    <t>080-018-400-115-00</t>
  </si>
  <si>
    <t>5091 LANSING RD</t>
  </si>
  <si>
    <t>2950 0697</t>
  </si>
  <si>
    <t>080-019-100-024-00</t>
  </si>
  <si>
    <t>4780 N ROYSTON RD</t>
  </si>
  <si>
    <t>2797 0896</t>
  </si>
  <si>
    <t>INDUSTRIAL</t>
  </si>
  <si>
    <t>080-023-400-101-02</t>
  </si>
  <si>
    <t>10895 E VERMONTVILLE</t>
  </si>
  <si>
    <t>2938 0785</t>
  </si>
  <si>
    <t>080-086-500-412-00</t>
  </si>
  <si>
    <t>9742 WOODLANE DR</t>
  </si>
  <si>
    <t>2817 1171</t>
  </si>
  <si>
    <t>080-086-500-440-00</t>
  </si>
  <si>
    <t>9555 WOODLANE DR</t>
  </si>
  <si>
    <t>2712 237</t>
  </si>
  <si>
    <t>080-086-500-540-00</t>
  </si>
  <si>
    <t>9550 WOODLANE DR</t>
  </si>
  <si>
    <t>2796 0372</t>
  </si>
  <si>
    <t>080-086-500-620-01</t>
  </si>
  <si>
    <t>7977 CENTERLINE DR</t>
  </si>
  <si>
    <t>2811 0677</t>
  </si>
  <si>
    <t>080-003-100-022-00</t>
  </si>
  <si>
    <t>081-000-620-010-00</t>
  </si>
  <si>
    <t>105 N BRIDGE ST</t>
  </si>
  <si>
    <t>COM-V</t>
  </si>
  <si>
    <t>2588 112</t>
  </si>
  <si>
    <t>081-000-621-091-00</t>
  </si>
  <si>
    <t>144 N BRIDGE ST</t>
  </si>
  <si>
    <t>2951 0184</t>
  </si>
  <si>
    <t>081-000-636-055-00</t>
  </si>
  <si>
    <t>257 S BRIDGE ST</t>
  </si>
  <si>
    <t>2933 0962</t>
  </si>
  <si>
    <t>081-000-645-061-00</t>
  </si>
  <si>
    <t>138 S BRIDGE ST</t>
  </si>
  <si>
    <t>2603 936</t>
  </si>
  <si>
    <t>Totals:</t>
  </si>
  <si>
    <t>Sale. Ratio =&gt;</t>
  </si>
  <si>
    <t>Average</t>
  </si>
  <si>
    <t>Std. Dev. =&gt;</t>
  </si>
  <si>
    <t>per FF=&gt;</t>
  </si>
  <si>
    <t>per Net Acre=&gt;</t>
  </si>
  <si>
    <t>per SqFt=&gt;</t>
  </si>
  <si>
    <t>COMMERCIAL AND INDUSTRIAL SALES- TIME ADJUSTED</t>
  </si>
  <si>
    <t>DESCRIPTION:</t>
  </si>
  <si>
    <t>ACRES</t>
  </si>
  <si>
    <t>$ PER ACRE</t>
  </si>
  <si>
    <t>LANSING RD VALUE</t>
  </si>
  <si>
    <t>V= VERIFIED FROM DATA</t>
  </si>
  <si>
    <t>EX= EXTRAPOLATED FROM CURVE</t>
  </si>
  <si>
    <t>M= MODIFICATION OF VERIFIED DATA TO CURVE</t>
  </si>
  <si>
    <t>M</t>
  </si>
  <si>
    <t>EX</t>
  </si>
  <si>
    <t>M99 VALUE</t>
  </si>
  <si>
    <t>PARK VALUE</t>
  </si>
  <si>
    <t>COMMERCIAL AND INDUSTRIAL SALES- VILLAGE</t>
  </si>
  <si>
    <t>$ PER SF</t>
  </si>
  <si>
    <t>VILLAGE VALUE</t>
  </si>
  <si>
    <t>SF</t>
  </si>
  <si>
    <t>COMMERCIAL AND INDUSTRIAL SALES- LANSING RD/INDUSTRIAL MAJOR</t>
  </si>
  <si>
    <t>COMMERCIAL AND INDUSTRIAL SALES- M99/INDUSTRIAL/OTHER</t>
  </si>
  <si>
    <t>COMMERCIAL AND INDUSTRIAL SALES- COMMERCE PARK</t>
  </si>
  <si>
    <t>COMMERCIAL AND INDUSTRIAL SALES- HARVEST PARK</t>
  </si>
  <si>
    <t>080-003-300-075-00</t>
  </si>
  <si>
    <t>7242 LANSING RD</t>
  </si>
  <si>
    <t>RUR1</t>
  </si>
  <si>
    <t>2839 0401</t>
  </si>
  <si>
    <t>080-009-205-205-00</t>
  </si>
  <si>
    <t>6716 LANSING RD</t>
  </si>
  <si>
    <t>3038 0046</t>
  </si>
  <si>
    <t>3037 0265</t>
  </si>
  <si>
    <t>080-013-200-009-00</t>
  </si>
  <si>
    <t>5855 N MICHIGAN RD</t>
  </si>
  <si>
    <t>3015 488</t>
  </si>
  <si>
    <t>080-013-200-006-02</t>
  </si>
  <si>
    <t>080-012-200-104-00</t>
  </si>
  <si>
    <t>11545 BISHOP HWY</t>
  </si>
  <si>
    <t>3020 0337</t>
  </si>
  <si>
    <t>COMMERCIAL- OTHER</t>
  </si>
  <si>
    <t>080-002-100-022-09</t>
  </si>
  <si>
    <t>HARVEST PARK</t>
  </si>
  <si>
    <t/>
  </si>
  <si>
    <t>3017 0030</t>
  </si>
  <si>
    <t>INDUSTRIAL MED</t>
  </si>
  <si>
    <t>302</t>
  </si>
  <si>
    <t>080-003-200-041-00</t>
  </si>
  <si>
    <t>CREYTS RD</t>
  </si>
  <si>
    <t>2734 360</t>
  </si>
  <si>
    <t>080-003-200-051-00</t>
  </si>
  <si>
    <t>080-002-100-022-05</t>
  </si>
  <si>
    <t>10310 HARVEST PARK</t>
  </si>
  <si>
    <t>2991 1142</t>
  </si>
  <si>
    <t>081-000-636-050-00</t>
  </si>
  <si>
    <t>251 S BRIDGE ST</t>
  </si>
  <si>
    <t>3051-1220</t>
  </si>
  <si>
    <t>VILLAGE COMMERCIAL</t>
  </si>
  <si>
    <t>3008 0326</t>
  </si>
  <si>
    <t>PRIOR YEAR</t>
  </si>
  <si>
    <t>Sq. Ft.</t>
  </si>
  <si>
    <t>INDUSTRIAL LAND VALUE</t>
  </si>
  <si>
    <t>MED</t>
  </si>
  <si>
    <t>% DIFF</t>
  </si>
  <si>
    <t>LANSING</t>
  </si>
  <si>
    <t>M-99</t>
  </si>
  <si>
    <t>IND REG</t>
  </si>
  <si>
    <t>IND MAJ</t>
  </si>
  <si>
    <t>USED: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</si>
</sst>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#0.00_);[Red]\(#0.00\)"/>
    <numFmt numFmtId="165" formatCode="mm/dd/yy"/>
    <numFmt numFmtId="166" formatCode="#,##0.0_);[Red]\(#,##0.0\)"/>
    <numFmt numFmtId="167" formatCode="#0.0_);[Red]\(#0.0\)"/>
    <numFmt numFmtId="168" formatCode="&quot;$&quot;#,##0_);[Red]\(&quot;$&quot;#,##0.00\)"/>
    <numFmt numFmtId="169" formatCode="0.0000"/>
    <numFmt numFmtId="170" formatCode="_(* #,##0_);_(* \(#,##0\);_(* &quot;-&quot;??_);_(@_)"/>
    <numFmt numFmtId="171" formatCode="_(* #,##0.000_);_(* \(#,##0.0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7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quotePrefix="1"/>
    <xf numFmtId="0" fontId="2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right"/>
    </xf>
    <xf numFmtId="6" fontId="1" fillId="2" borderId="0" xfId="0" applyNumberFormat="1" applyFont="1" applyFill="1" applyAlignment="1">
      <alignment horizontal="center"/>
    </xf>
    <xf numFmtId="6" fontId="0" fillId="0" borderId="0" xfId="0" applyNumberFormat="1"/>
    <xf numFmtId="6" fontId="2" fillId="3" borderId="1" xfId="0" applyNumberFormat="1" applyFont="1" applyFill="1" applyBorder="1"/>
    <xf numFmtId="6" fontId="2" fillId="3" borderId="0" xfId="0" applyNumberFormat="1" applyFont="1" applyFill="1"/>
    <xf numFmtId="6" fontId="2" fillId="3" borderId="2" xfId="0" applyNumberFormat="1" applyFont="1" applyFill="1" applyBorder="1"/>
    <xf numFmtId="164" fontId="1" fillId="2" borderId="0" xfId="0" applyNumberFormat="1" applyFont="1" applyFill="1" applyAlignment="1">
      <alignment horizontal="center"/>
    </xf>
    <xf numFmtId="164" fontId="0" fillId="0" borderId="0" xfId="0" applyNumberFormat="1"/>
    <xf numFmtId="164" fontId="2" fillId="3" borderId="1" xfId="0" applyNumberFormat="1" applyFont="1" applyFill="1" applyBorder="1"/>
    <xf numFmtId="164" fontId="2" fillId="3" borderId="0" xfId="0" applyNumberFormat="1" applyFont="1" applyFill="1"/>
    <xf numFmtId="164" fontId="2" fillId="3" borderId="2" xfId="0" applyNumberFormat="1" applyFont="1" applyFill="1" applyBorder="1"/>
    <xf numFmtId="165" fontId="1" fillId="2" borderId="0" xfId="0" applyNumberFormat="1" applyFont="1" applyFill="1" applyAlignment="1">
      <alignment horizontal="center"/>
    </xf>
    <xf numFmtId="165" fontId="0" fillId="0" borderId="0" xfId="0" applyNumberFormat="1"/>
    <xf numFmtId="165" fontId="2" fillId="3" borderId="1" xfId="0" applyNumberFormat="1" applyFont="1" applyFill="1" applyBorder="1"/>
    <xf numFmtId="165" fontId="2" fillId="3" borderId="0" xfId="0" applyNumberFormat="1" applyFont="1" applyFill="1"/>
    <xf numFmtId="165" fontId="2" fillId="3" borderId="2" xfId="0" applyNumberFormat="1" applyFont="1" applyFill="1" applyBorder="1"/>
    <xf numFmtId="166" fontId="1" fillId="2" borderId="0" xfId="0" applyNumberFormat="1" applyFont="1" applyFill="1" applyAlignment="1">
      <alignment horizontal="center"/>
    </xf>
    <xf numFmtId="166" fontId="0" fillId="0" borderId="0" xfId="0" applyNumberFormat="1"/>
    <xf numFmtId="166" fontId="2" fillId="3" borderId="1" xfId="0" applyNumberFormat="1" applyFont="1" applyFill="1" applyBorder="1"/>
    <xf numFmtId="166" fontId="2" fillId="3" borderId="0" xfId="0" applyNumberFormat="1" applyFont="1" applyFill="1"/>
    <xf numFmtId="167" fontId="1" fillId="2" borderId="0" xfId="0" applyNumberFormat="1" applyFont="1" applyFill="1" applyAlignment="1">
      <alignment horizontal="center"/>
    </xf>
    <xf numFmtId="167" fontId="0" fillId="0" borderId="0" xfId="0" applyNumberFormat="1"/>
    <xf numFmtId="167" fontId="2" fillId="3" borderId="1" xfId="0" applyNumberFormat="1" applyFont="1" applyFill="1" applyBorder="1"/>
    <xf numFmtId="167" fontId="2" fillId="3" borderId="0" xfId="0" applyNumberFormat="1" applyFont="1" applyFill="1"/>
    <xf numFmtId="167" fontId="2" fillId="3" borderId="2" xfId="0" applyNumberFormat="1" applyFont="1" applyFill="1" applyBorder="1"/>
    <xf numFmtId="40" fontId="1" fillId="2" borderId="0" xfId="0" applyNumberFormat="1" applyFont="1" applyFill="1" applyAlignment="1">
      <alignment horizontal="center"/>
    </xf>
    <xf numFmtId="40" fontId="0" fillId="0" borderId="0" xfId="0" applyNumberFormat="1"/>
    <xf numFmtId="40" fontId="2" fillId="3" borderId="1" xfId="0" applyNumberFormat="1" applyFont="1" applyFill="1" applyBorder="1"/>
    <xf numFmtId="40" fontId="2" fillId="3" borderId="0" xfId="0" applyNumberFormat="1" applyFont="1" applyFill="1"/>
    <xf numFmtId="40" fontId="2" fillId="3" borderId="2" xfId="0" applyNumberFormat="1" applyFont="1" applyFill="1" applyBorder="1"/>
    <xf numFmtId="8" fontId="1" fillId="2" borderId="0" xfId="0" applyNumberFormat="1" applyFont="1" applyFill="1" applyAlignment="1">
      <alignment horizontal="center"/>
    </xf>
    <xf numFmtId="8" fontId="0" fillId="0" borderId="0" xfId="0" applyNumberFormat="1"/>
    <xf numFmtId="8" fontId="2" fillId="3" borderId="1" xfId="0" applyNumberFormat="1" applyFont="1" applyFill="1" applyBorder="1"/>
    <xf numFmtId="8" fontId="2" fillId="3" borderId="0" xfId="0" applyNumberFormat="1" applyFont="1" applyFill="1"/>
    <xf numFmtId="8" fontId="2" fillId="3" borderId="2" xfId="0" applyNumberFormat="1" applyFont="1" applyFill="1" applyBorder="1"/>
    <xf numFmtId="168" fontId="2" fillId="3" borderId="2" xfId="0" applyNumberFormat="1" applyFont="1" applyFill="1" applyBorder="1"/>
    <xf numFmtId="169" fontId="0" fillId="0" borderId="0" xfId="0" applyNumberFormat="1"/>
    <xf numFmtId="0" fontId="4" fillId="0" borderId="0" xfId="0" applyFont="1"/>
    <xf numFmtId="170" fontId="4" fillId="0" borderId="0" xfId="1" applyNumberFormat="1" applyFont="1" applyFill="1"/>
    <xf numFmtId="2" fontId="0" fillId="0" borderId="0" xfId="0" applyNumberFormat="1" applyAlignment="1">
      <alignment horizontal="center"/>
    </xf>
    <xf numFmtId="170" fontId="0" fillId="0" borderId="0" xfId="1" applyNumberFormat="1" applyFont="1" applyFill="1"/>
    <xf numFmtId="171" fontId="0" fillId="0" borderId="0" xfId="1" applyNumberFormat="1" applyFont="1" applyFill="1"/>
    <xf numFmtId="0" fontId="4" fillId="0" borderId="0" xfId="0" applyFont="1" applyAlignment="1">
      <alignment horizontal="center"/>
    </xf>
    <xf numFmtId="170" fontId="4" fillId="0" borderId="0" xfId="1" applyNumberFormat="1" applyFont="1" applyAlignment="1">
      <alignment horizontal="center"/>
    </xf>
    <xf numFmtId="43" fontId="0" fillId="4" borderId="0" xfId="1" applyFont="1" applyFill="1"/>
    <xf numFmtId="170" fontId="0" fillId="5" borderId="0" xfId="1" applyNumberFormat="1" applyFont="1" applyFill="1"/>
    <xf numFmtId="0" fontId="0" fillId="0" borderId="0" xfId="0" applyAlignment="1">
      <alignment horizontal="left"/>
    </xf>
    <xf numFmtId="170" fontId="0" fillId="0" borderId="0" xfId="1" applyNumberFormat="1" applyFont="1"/>
    <xf numFmtId="41" fontId="0" fillId="4" borderId="0" xfId="1" applyNumberFormat="1" applyFont="1" applyFill="1"/>
    <xf numFmtId="39" fontId="0" fillId="0" borderId="0" xfId="1" applyNumberFormat="1" applyFont="1" applyFill="1"/>
    <xf numFmtId="38" fontId="0" fillId="0" borderId="0" xfId="0" applyNumberFormat="1"/>
    <xf numFmtId="7" fontId="0" fillId="0" borderId="0" xfId="1" applyNumberFormat="1" applyFont="1" applyFill="1"/>
    <xf numFmtId="2" fontId="0" fillId="0" borderId="0" xfId="0" applyNumberFormat="1"/>
    <xf numFmtId="1" fontId="0" fillId="0" borderId="0" xfId="0" applyNumberFormat="1"/>
    <xf numFmtId="3" fontId="0" fillId="0" borderId="0" xfId="0" applyNumberFormat="1"/>
  </cellXfs>
  <cellStyles count="2">
    <cellStyle name="Comma" xfId="1" builtinId="3"/>
    <cellStyle name="Normal" xfId="0" builtinId="0"/>
  </cellStyles>
  <dxfs count="12"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  <dxf>
      <fill>
        <patternFill>
          <bgColor rgb="FFFFFFFF"/>
        </patternFill>
      </fill>
    </dxf>
    <dxf>
      <fill>
        <patternFill>
          <bgColor rgb="FFA7E4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RATES BY SIZE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'Land Analysis'!$C$83:$C$98</c:f>
              <c:numCache>
                <c:formatCode>_(* #,##0_);_(* \(#,##0\);_(* "-"??_);_(@_)</c:formatCode>
                <c:ptCount val="16"/>
                <c:pt idx="0">
                  <c:v>135000</c:v>
                </c:pt>
                <c:pt idx="1">
                  <c:v>93000</c:v>
                </c:pt>
                <c:pt idx="2">
                  <c:v>70000</c:v>
                </c:pt>
                <c:pt idx="3">
                  <c:v>56500</c:v>
                </c:pt>
                <c:pt idx="4">
                  <c:v>47500</c:v>
                </c:pt>
                <c:pt idx="5">
                  <c:v>36000</c:v>
                </c:pt>
                <c:pt idx="6">
                  <c:v>29000</c:v>
                </c:pt>
                <c:pt idx="7">
                  <c:v>21000</c:v>
                </c:pt>
                <c:pt idx="8">
                  <c:v>15000</c:v>
                </c:pt>
                <c:pt idx="9">
                  <c:v>11000</c:v>
                </c:pt>
                <c:pt idx="10">
                  <c:v>9000</c:v>
                </c:pt>
                <c:pt idx="11">
                  <c:v>8000</c:v>
                </c:pt>
                <c:pt idx="12">
                  <c:v>7500</c:v>
                </c:pt>
                <c:pt idx="13">
                  <c:v>6000</c:v>
                </c:pt>
                <c:pt idx="14">
                  <c:v>5000</c:v>
                </c:pt>
                <c:pt idx="15">
                  <c:v>2600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19-42C8-B532-34E50CE8F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00224"/>
        <c:axId val="202806104"/>
      </c:scatterChart>
      <c:valAx>
        <c:axId val="20280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6104"/>
        <c:crosses val="autoZero"/>
        <c:crossBetween val="midCat"/>
      </c:valAx>
      <c:valAx>
        <c:axId val="20280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RATES BY SIZE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'Land Analysis'!$C$139:$C$154</c:f>
              <c:numCache>
                <c:formatCode>_(* #,##0_);_(* \(#,##0\);_(* "-"??_);_(@_)</c:formatCode>
                <c:ptCount val="16"/>
                <c:pt idx="0">
                  <c:v>90000</c:v>
                </c:pt>
                <c:pt idx="1">
                  <c:v>66000</c:v>
                </c:pt>
                <c:pt idx="2">
                  <c:v>55000</c:v>
                </c:pt>
                <c:pt idx="3">
                  <c:v>45000</c:v>
                </c:pt>
                <c:pt idx="4">
                  <c:v>38000</c:v>
                </c:pt>
                <c:pt idx="5">
                  <c:v>29000</c:v>
                </c:pt>
                <c:pt idx="6">
                  <c:v>23500</c:v>
                </c:pt>
                <c:pt idx="7">
                  <c:v>19500</c:v>
                </c:pt>
                <c:pt idx="8">
                  <c:v>16000</c:v>
                </c:pt>
                <c:pt idx="9">
                  <c:v>11500</c:v>
                </c:pt>
                <c:pt idx="10">
                  <c:v>9000</c:v>
                </c:pt>
                <c:pt idx="11">
                  <c:v>7600</c:v>
                </c:pt>
                <c:pt idx="12">
                  <c:v>6800</c:v>
                </c:pt>
                <c:pt idx="13">
                  <c:v>5250</c:v>
                </c:pt>
                <c:pt idx="14">
                  <c:v>4250</c:v>
                </c:pt>
                <c:pt idx="15">
                  <c:v>2250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1E-421C-B08B-70D35AF84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00224"/>
        <c:axId val="202806104"/>
      </c:scatterChart>
      <c:valAx>
        <c:axId val="20280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6104"/>
        <c:crosses val="autoZero"/>
        <c:crossBetween val="midCat"/>
      </c:valAx>
      <c:valAx>
        <c:axId val="20280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RATES BY SIZE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'Land Analysis'!$C$202:$C$217</c:f>
              <c:numCache>
                <c:formatCode>_(* #,##0_);_(* \(#,##0\);_(* "-"??_);_(@_)</c:formatCode>
                <c:ptCount val="16"/>
                <c:pt idx="0">
                  <c:v>245000</c:v>
                </c:pt>
                <c:pt idx="1">
                  <c:v>170000</c:v>
                </c:pt>
                <c:pt idx="2">
                  <c:v>130000</c:v>
                </c:pt>
                <c:pt idx="3">
                  <c:v>110000</c:v>
                </c:pt>
                <c:pt idx="4">
                  <c:v>92000</c:v>
                </c:pt>
                <c:pt idx="5">
                  <c:v>70000</c:v>
                </c:pt>
                <c:pt idx="6">
                  <c:v>57000</c:v>
                </c:pt>
                <c:pt idx="7">
                  <c:v>46000</c:v>
                </c:pt>
                <c:pt idx="8">
                  <c:v>35000</c:v>
                </c:pt>
                <c:pt idx="9">
                  <c:v>26500</c:v>
                </c:pt>
                <c:pt idx="10">
                  <c:v>20750</c:v>
                </c:pt>
                <c:pt idx="11">
                  <c:v>17000</c:v>
                </c:pt>
                <c:pt idx="12">
                  <c:v>15000</c:v>
                </c:pt>
                <c:pt idx="13">
                  <c:v>12000</c:v>
                </c:pt>
                <c:pt idx="14">
                  <c:v>9750</c:v>
                </c:pt>
                <c:pt idx="15">
                  <c:v>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42-44B1-8739-D67FD6295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00224"/>
        <c:axId val="202806104"/>
      </c:scatterChart>
      <c:valAx>
        <c:axId val="20280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6104"/>
        <c:crosses val="autoZero"/>
        <c:crossBetween val="midCat"/>
      </c:valAx>
      <c:valAx>
        <c:axId val="20280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RATES BY SIZE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'Land Analysis'!$C$280:$C$295</c:f>
              <c:numCache>
                <c:formatCode>#,##0.00_);\(#,##0.00\)</c:formatCode>
                <c:ptCount val="16"/>
                <c:pt idx="0">
                  <c:v>11</c:v>
                </c:pt>
                <c:pt idx="1">
                  <c:v>8.25</c:v>
                </c:pt>
                <c:pt idx="2">
                  <c:v>7</c:v>
                </c:pt>
                <c:pt idx="3">
                  <c:v>6.25</c:v>
                </c:pt>
                <c:pt idx="4">
                  <c:v>5.25</c:v>
                </c:pt>
                <c:pt idx="5">
                  <c:v>4.75</c:v>
                </c:pt>
                <c:pt idx="6">
                  <c:v>4.25</c:v>
                </c:pt>
                <c:pt idx="7">
                  <c:v>3.65</c:v>
                </c:pt>
                <c:pt idx="8">
                  <c:v>3.35</c:v>
                </c:pt>
                <c:pt idx="9">
                  <c:v>3.1</c:v>
                </c:pt>
                <c:pt idx="10">
                  <c:v>2.7</c:v>
                </c:pt>
                <c:pt idx="11">
                  <c:v>2.35</c:v>
                </c:pt>
                <c:pt idx="12">
                  <c:v>1.8</c:v>
                </c:pt>
                <c:pt idx="13">
                  <c:v>1.38</c:v>
                </c:pt>
                <c:pt idx="14">
                  <c:v>1.1000000000000001</c:v>
                </c:pt>
                <c:pt idx="15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34-4717-B7F8-EC2C241D3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00224"/>
        <c:axId val="202806104"/>
      </c:scatterChart>
      <c:valAx>
        <c:axId val="20280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6104"/>
        <c:crosses val="autoZero"/>
        <c:crossBetween val="midCat"/>
      </c:valAx>
      <c:valAx>
        <c:axId val="20280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\(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RATES BY SIZE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'Land Analysis'!$C$237:$C$252</c:f>
              <c:numCache>
                <c:formatCode>_(* #,##0_);_(* \(#,##0\);_(* "-"??_);_(@_)</c:formatCode>
                <c:ptCount val="16"/>
                <c:pt idx="0">
                  <c:v>350000</c:v>
                </c:pt>
                <c:pt idx="1">
                  <c:v>235000</c:v>
                </c:pt>
                <c:pt idx="2">
                  <c:v>185000</c:v>
                </c:pt>
                <c:pt idx="3">
                  <c:v>150000</c:v>
                </c:pt>
                <c:pt idx="4">
                  <c:v>126350</c:v>
                </c:pt>
                <c:pt idx="5">
                  <c:v>105000</c:v>
                </c:pt>
                <c:pt idx="6">
                  <c:v>90000</c:v>
                </c:pt>
                <c:pt idx="7">
                  <c:v>67000</c:v>
                </c:pt>
                <c:pt idx="8">
                  <c:v>49000</c:v>
                </c:pt>
                <c:pt idx="9">
                  <c:v>35245</c:v>
                </c:pt>
                <c:pt idx="10">
                  <c:v>27597.5</c:v>
                </c:pt>
                <c:pt idx="11">
                  <c:v>22610</c:v>
                </c:pt>
                <c:pt idx="12">
                  <c:v>19950</c:v>
                </c:pt>
                <c:pt idx="13">
                  <c:v>15960</c:v>
                </c:pt>
                <c:pt idx="14">
                  <c:v>12967.5</c:v>
                </c:pt>
                <c:pt idx="15">
                  <c:v>7200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A3-4AD2-A24B-9D7414B1A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00224"/>
        <c:axId val="202806104"/>
      </c:scatterChart>
      <c:valAx>
        <c:axId val="20280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6104"/>
        <c:crosses val="autoZero"/>
        <c:crossBetween val="midCat"/>
      </c:valAx>
      <c:valAx>
        <c:axId val="20280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11907</xdr:colOff>
      <xdr:row>81</xdr:row>
      <xdr:rowOff>0</xdr:rowOff>
    </xdr:from>
    <xdr:to>
      <xdr:col>23</xdr:col>
      <xdr:colOff>595312</xdr:colOff>
      <xdr:row>102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E52A5D-EE52-4C30-BC35-9D0729F53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23814</xdr:colOff>
      <xdr:row>137</xdr:row>
      <xdr:rowOff>0</xdr:rowOff>
    </xdr:from>
    <xdr:to>
      <xdr:col>23</xdr:col>
      <xdr:colOff>607219</xdr:colOff>
      <xdr:row>158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53F1B7-4126-42A3-8D97-B175770B5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35719</xdr:colOff>
      <xdr:row>200</xdr:row>
      <xdr:rowOff>11907</xdr:rowOff>
    </xdr:from>
    <xdr:to>
      <xdr:col>23</xdr:col>
      <xdr:colOff>619124</xdr:colOff>
      <xdr:row>221</xdr:row>
      <xdr:rowOff>11907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5B60A3C-6999-4FC3-8103-307FFBFED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357188</xdr:colOff>
      <xdr:row>277</xdr:row>
      <xdr:rowOff>178594</xdr:rowOff>
    </xdr:from>
    <xdr:to>
      <xdr:col>23</xdr:col>
      <xdr:colOff>571499</xdr:colOff>
      <xdr:row>298</xdr:row>
      <xdr:rowOff>178594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174025-578B-4F69-B890-A996926182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</xdr:colOff>
      <xdr:row>236</xdr:row>
      <xdr:rowOff>0</xdr:rowOff>
    </xdr:from>
    <xdr:to>
      <xdr:col>23</xdr:col>
      <xdr:colOff>583406</xdr:colOff>
      <xdr:row>257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CE526E6-AC60-4FD9-B759-046CAFBB29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7192D-221F-4D2B-9D6C-823D0927C89A}">
  <dimension ref="A1:AY323"/>
  <sheetViews>
    <sheetView tabSelected="1" topLeftCell="A281" zoomScale="80" zoomScaleNormal="80" workbookViewId="0">
      <selection activeCell="L321" sqref="L321"/>
    </sheetView>
  </sheetViews>
  <sheetFormatPr defaultRowHeight="15" x14ac:dyDescent="0.25"/>
  <cols>
    <col min="1" max="1" width="24.7109375" customWidth="1"/>
    <col min="2" max="2" width="21.85546875" bestFit="1" customWidth="1"/>
    <col min="3" max="3" width="10.5703125" style="24" bestFit="1" customWidth="1"/>
    <col min="4" max="5" width="9.28515625" style="24" customWidth="1"/>
    <col min="6" max="6" width="11.85546875" style="14" bestFit="1" customWidth="1"/>
    <col min="7" max="7" width="5.5703125" bestFit="1" customWidth="1"/>
    <col min="8" max="8" width="30.140625" bestFit="1" customWidth="1"/>
    <col min="9" max="9" width="11.85546875" style="14" bestFit="1" customWidth="1"/>
    <col min="10" max="10" width="16.5703125" style="14" bestFit="1" customWidth="1"/>
    <col min="11" max="11" width="12.85546875" style="19" bestFit="1" customWidth="1"/>
    <col min="12" max="12" width="13.42578125" style="14" bestFit="1" customWidth="1"/>
    <col min="13" max="13" width="13.28515625" style="14" bestFit="1" customWidth="1"/>
    <col min="14" max="14" width="14.42578125" style="14" bestFit="1" customWidth="1"/>
    <col min="15" max="15" width="11.140625" style="29" hidden="1" customWidth="1"/>
    <col min="16" max="16" width="6.42578125" style="33" hidden="1" customWidth="1"/>
    <col min="17" max="17" width="14.28515625" style="38" bestFit="1" customWidth="1"/>
    <col min="18" max="18" width="15" style="38" customWidth="1"/>
    <col min="19" max="19" width="10" style="14" hidden="1" customWidth="1"/>
    <col min="20" max="20" width="12" style="14" bestFit="1" customWidth="1"/>
    <col min="21" max="21" width="11.85546875" style="43" bestFit="1" customWidth="1"/>
    <col min="22" max="22" width="11.7109375" style="38" hidden="1" customWidth="1"/>
    <col min="23" max="23" width="8.7109375" style="4" bestFit="1" customWidth="1"/>
    <col min="24" max="24" width="10.5703125" bestFit="1" customWidth="1"/>
    <col min="25" max="25" width="55.140625" bestFit="1" customWidth="1"/>
    <col min="26" max="26" width="25.28515625" bestFit="1" customWidth="1"/>
    <col min="27" max="27" width="6.85546875" bestFit="1" customWidth="1"/>
    <col min="28" max="28" width="6.42578125" bestFit="1" customWidth="1"/>
    <col min="29" max="29" width="15" bestFit="1" customWidth="1"/>
    <col min="30" max="30" width="9.42578125" bestFit="1" customWidth="1"/>
    <col min="31" max="31" width="5.42578125" bestFit="1" customWidth="1"/>
    <col min="32" max="34" width="12.42578125" bestFit="1" customWidth="1"/>
  </cols>
  <sheetData>
    <row r="1" spans="1:51" x14ac:dyDescent="0.25">
      <c r="A1" s="49" t="s">
        <v>98</v>
      </c>
    </row>
    <row r="2" spans="1:51" x14ac:dyDescent="0.25">
      <c r="A2" s="1" t="s">
        <v>0</v>
      </c>
      <c r="B2" s="1" t="s">
        <v>1</v>
      </c>
      <c r="C2" s="23" t="s">
        <v>2</v>
      </c>
      <c r="D2" s="23"/>
      <c r="E2" s="23"/>
      <c r="F2" s="13" t="s">
        <v>3</v>
      </c>
      <c r="G2" s="1" t="s">
        <v>4</v>
      </c>
      <c r="H2" s="1" t="s">
        <v>5</v>
      </c>
      <c r="I2" s="13" t="s">
        <v>6</v>
      </c>
      <c r="J2" s="13" t="s">
        <v>7</v>
      </c>
      <c r="K2" s="18" t="s">
        <v>8</v>
      </c>
      <c r="L2" s="13" t="s">
        <v>9</v>
      </c>
      <c r="M2" s="13" t="s">
        <v>10</v>
      </c>
      <c r="N2" s="13" t="s">
        <v>11</v>
      </c>
      <c r="O2" s="28" t="s">
        <v>12</v>
      </c>
      <c r="P2" s="32" t="s">
        <v>13</v>
      </c>
      <c r="Q2" s="37" t="s">
        <v>14</v>
      </c>
      <c r="R2" s="37" t="s">
        <v>15</v>
      </c>
      <c r="S2" s="13" t="s">
        <v>16</v>
      </c>
      <c r="T2" s="13" t="s">
        <v>17</v>
      </c>
      <c r="U2" s="42" t="s">
        <v>18</v>
      </c>
      <c r="V2" s="37" t="s">
        <v>19</v>
      </c>
      <c r="W2" s="3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1" x14ac:dyDescent="0.25">
      <c r="A3" t="s">
        <v>118</v>
      </c>
      <c r="B3" t="s">
        <v>119</v>
      </c>
      <c r="C3" s="24">
        <v>43934</v>
      </c>
      <c r="D3" s="48">
        <v>4.4999999999999997E-3</v>
      </c>
      <c r="E3" s="24">
        <v>44652</v>
      </c>
      <c r="F3" s="14">
        <v>35000</v>
      </c>
      <c r="G3" t="s">
        <v>29</v>
      </c>
      <c r="H3" t="s">
        <v>30</v>
      </c>
      <c r="I3" s="14">
        <f>((DATEDIF(C3,E3, "m")*D3)+1)*F3</f>
        <v>38622.5</v>
      </c>
      <c r="J3" s="14">
        <v>43500</v>
      </c>
      <c r="K3" s="19">
        <f t="shared" ref="K3:K27" si="0">J3/I3*100</f>
        <v>112.62864910350186</v>
      </c>
      <c r="L3" s="14">
        <v>86968</v>
      </c>
      <c r="M3" s="14">
        <f>I3-15718</f>
        <v>22904.5</v>
      </c>
      <c r="N3" s="14">
        <v>71250</v>
      </c>
      <c r="O3" s="29">
        <v>0</v>
      </c>
      <c r="P3" s="33">
        <v>0</v>
      </c>
      <c r="Q3" s="38">
        <v>0.56999999999999995</v>
      </c>
      <c r="R3" s="38">
        <v>0.56999999999999995</v>
      </c>
      <c r="S3" s="14" t="e">
        <f t="shared" ref="S3:S27" si="1">M3/O3</f>
        <v>#DIV/0!</v>
      </c>
      <c r="T3" s="14">
        <f t="shared" ref="T3:T27" si="2">M3/Q3</f>
        <v>40183.333333333336</v>
      </c>
      <c r="U3" s="43">
        <f t="shared" ref="U3:U27" si="3">M3/Q3/43560</f>
        <v>0.92248239975512714</v>
      </c>
      <c r="V3" s="38">
        <v>0</v>
      </c>
      <c r="W3" s="5" t="s">
        <v>120</v>
      </c>
      <c r="X3" t="s">
        <v>121</v>
      </c>
      <c r="Z3" t="s">
        <v>38</v>
      </c>
      <c r="AA3">
        <v>0</v>
      </c>
      <c r="AB3">
        <v>0</v>
      </c>
      <c r="AC3" t="s">
        <v>32</v>
      </c>
      <c r="AE3" s="6" t="s">
        <v>36</v>
      </c>
    </row>
    <row r="4" spans="1:51" x14ac:dyDescent="0.25">
      <c r="A4" t="s">
        <v>55</v>
      </c>
      <c r="B4" t="s">
        <v>56</v>
      </c>
      <c r="C4" s="24">
        <v>44432</v>
      </c>
      <c r="F4" s="14">
        <v>285000</v>
      </c>
      <c r="G4" t="s">
        <v>29</v>
      </c>
      <c r="H4" t="s">
        <v>30</v>
      </c>
      <c r="I4" s="14">
        <v>285000</v>
      </c>
      <c r="J4" s="14">
        <v>170900</v>
      </c>
      <c r="K4" s="19">
        <f t="shared" si="0"/>
        <v>59.964912280701753</v>
      </c>
      <c r="L4" s="14">
        <v>341789</v>
      </c>
      <c r="M4" s="14">
        <f>I4-213599</f>
        <v>71401</v>
      </c>
      <c r="N4" s="14">
        <v>128190</v>
      </c>
      <c r="O4" s="29">
        <v>0</v>
      </c>
      <c r="P4" s="33">
        <v>0</v>
      </c>
      <c r="Q4" s="38">
        <v>1.1100000000000001</v>
      </c>
      <c r="R4" s="38">
        <v>1.1100000000000001</v>
      </c>
      <c r="S4" s="14" t="e">
        <f t="shared" si="1"/>
        <v>#DIV/0!</v>
      </c>
      <c r="T4" s="14">
        <f t="shared" si="2"/>
        <v>64325.225225225222</v>
      </c>
      <c r="U4" s="43">
        <f t="shared" si="3"/>
        <v>1.4767039767039767</v>
      </c>
      <c r="V4" s="38">
        <v>0</v>
      </c>
      <c r="W4" s="5" t="s">
        <v>34</v>
      </c>
      <c r="X4" t="s">
        <v>57</v>
      </c>
      <c r="Z4" t="s">
        <v>38</v>
      </c>
      <c r="AA4">
        <v>0</v>
      </c>
      <c r="AB4">
        <v>0</v>
      </c>
      <c r="AC4" t="s">
        <v>32</v>
      </c>
      <c r="AE4" s="6" t="s">
        <v>36</v>
      </c>
    </row>
    <row r="5" spans="1:51" x14ac:dyDescent="0.25">
      <c r="A5" t="s">
        <v>40</v>
      </c>
      <c r="B5" t="s">
        <v>41</v>
      </c>
      <c r="C5" s="24">
        <v>42787</v>
      </c>
      <c r="D5" s="48">
        <v>4.4999999999999997E-3</v>
      </c>
      <c r="E5" s="24">
        <v>44652</v>
      </c>
      <c r="F5" s="14">
        <v>260000</v>
      </c>
      <c r="G5" t="s">
        <v>42</v>
      </c>
      <c r="H5" t="s">
        <v>30</v>
      </c>
      <c r="I5" s="14">
        <f>((DATEDIF(C5,E5, "m")*D5)+1)*F5</f>
        <v>331370</v>
      </c>
      <c r="J5" s="14">
        <v>201900</v>
      </c>
      <c r="K5" s="19">
        <f t="shared" si="0"/>
        <v>60.928871050487366</v>
      </c>
      <c r="L5" s="14">
        <v>403800</v>
      </c>
      <c r="M5" s="14">
        <f>I5-246787</f>
        <v>84583</v>
      </c>
      <c r="N5" s="14">
        <v>157013</v>
      </c>
      <c r="O5" s="29">
        <v>0</v>
      </c>
      <c r="P5" s="33">
        <v>0</v>
      </c>
      <c r="Q5" s="38">
        <v>6.61</v>
      </c>
      <c r="R5" s="38">
        <v>6.61</v>
      </c>
      <c r="S5" s="14" t="e">
        <f t="shared" si="1"/>
        <v>#DIV/0!</v>
      </c>
      <c r="T5" s="14">
        <f t="shared" si="2"/>
        <v>12796.217851739788</v>
      </c>
      <c r="U5" s="43">
        <f t="shared" si="3"/>
        <v>0.29376074039806677</v>
      </c>
      <c r="V5" s="38">
        <v>0</v>
      </c>
      <c r="W5" s="5" t="s">
        <v>34</v>
      </c>
      <c r="X5" t="s">
        <v>43</v>
      </c>
      <c r="Z5" t="s">
        <v>38</v>
      </c>
      <c r="AA5">
        <v>0</v>
      </c>
      <c r="AB5">
        <v>1</v>
      </c>
      <c r="AC5" t="s">
        <v>32</v>
      </c>
      <c r="AE5" s="6" t="s">
        <v>36</v>
      </c>
    </row>
    <row r="6" spans="1:51" x14ac:dyDescent="0.25">
      <c r="A6" t="s">
        <v>122</v>
      </c>
      <c r="B6" t="s">
        <v>123</v>
      </c>
      <c r="C6" s="24">
        <v>44960</v>
      </c>
      <c r="F6" s="14">
        <v>288000</v>
      </c>
      <c r="G6" t="s">
        <v>29</v>
      </c>
      <c r="H6" t="s">
        <v>30</v>
      </c>
      <c r="I6" s="14">
        <v>288000</v>
      </c>
      <c r="J6" s="14">
        <v>123100</v>
      </c>
      <c r="K6" s="19">
        <f t="shared" si="0"/>
        <v>42.743055555555557</v>
      </c>
      <c r="L6" s="14">
        <v>246151</v>
      </c>
      <c r="M6" s="14">
        <f>I6-131151</f>
        <v>156849</v>
      </c>
      <c r="N6" s="14">
        <v>115000</v>
      </c>
      <c r="O6" s="29">
        <v>0</v>
      </c>
      <c r="P6" s="33">
        <v>0</v>
      </c>
      <c r="Q6" s="38">
        <v>0.92</v>
      </c>
      <c r="R6" s="38">
        <v>0.92</v>
      </c>
      <c r="S6" s="14" t="e">
        <f t="shared" si="1"/>
        <v>#DIV/0!</v>
      </c>
      <c r="T6" s="14">
        <f t="shared" si="2"/>
        <v>170488.04347826086</v>
      </c>
      <c r="U6" s="43">
        <f t="shared" si="3"/>
        <v>3.9138669301712778</v>
      </c>
      <c r="V6" s="38">
        <v>0</v>
      </c>
      <c r="W6" s="5" t="s">
        <v>34</v>
      </c>
      <c r="X6" t="s">
        <v>124</v>
      </c>
      <c r="Z6" t="s">
        <v>38</v>
      </c>
      <c r="AA6">
        <v>0</v>
      </c>
      <c r="AB6">
        <v>0</v>
      </c>
      <c r="AC6" t="s">
        <v>32</v>
      </c>
      <c r="AE6" s="6" t="s">
        <v>36</v>
      </c>
    </row>
    <row r="7" spans="1:51" x14ac:dyDescent="0.25">
      <c r="A7" t="s">
        <v>44</v>
      </c>
      <c r="B7" t="s">
        <v>45</v>
      </c>
      <c r="C7" s="24">
        <v>44602</v>
      </c>
      <c r="F7" s="14">
        <v>199999</v>
      </c>
      <c r="G7" t="s">
        <v>29</v>
      </c>
      <c r="H7" t="s">
        <v>30</v>
      </c>
      <c r="I7" s="14">
        <v>199999</v>
      </c>
      <c r="J7" s="14">
        <v>84100</v>
      </c>
      <c r="K7" s="19">
        <f t="shared" si="0"/>
        <v>42.050210251051254</v>
      </c>
      <c r="L7" s="14">
        <v>168122</v>
      </c>
      <c r="M7" s="14">
        <f>I7-34422</f>
        <v>165577</v>
      </c>
      <c r="N7" s="14">
        <v>133700</v>
      </c>
      <c r="O7" s="29">
        <v>0</v>
      </c>
      <c r="P7" s="33">
        <v>0</v>
      </c>
      <c r="Q7" s="38">
        <v>1.3</v>
      </c>
      <c r="R7" s="38">
        <v>1.3</v>
      </c>
      <c r="S7" s="14" t="e">
        <f t="shared" si="1"/>
        <v>#DIV/0!</v>
      </c>
      <c r="T7" s="14">
        <f t="shared" si="2"/>
        <v>127366.92307692308</v>
      </c>
      <c r="U7" s="43">
        <f t="shared" si="3"/>
        <v>2.923942219396765</v>
      </c>
      <c r="V7" s="38">
        <v>0</v>
      </c>
      <c r="W7" s="5" t="s">
        <v>34</v>
      </c>
      <c r="X7" t="s">
        <v>46</v>
      </c>
      <c r="Z7" t="s">
        <v>38</v>
      </c>
      <c r="AA7">
        <v>0</v>
      </c>
      <c r="AB7">
        <v>0</v>
      </c>
      <c r="AC7" t="s">
        <v>32</v>
      </c>
      <c r="AE7" s="6" t="s">
        <v>36</v>
      </c>
    </row>
    <row r="8" spans="1:51" x14ac:dyDescent="0.25">
      <c r="A8" t="s">
        <v>51</v>
      </c>
      <c r="B8" t="s">
        <v>52</v>
      </c>
      <c r="C8" s="24">
        <v>43179</v>
      </c>
      <c r="D8" s="48">
        <v>4.4999999999999997E-3</v>
      </c>
      <c r="E8" s="24">
        <v>44652</v>
      </c>
      <c r="F8" s="14">
        <v>325000</v>
      </c>
      <c r="G8" t="s">
        <v>42</v>
      </c>
      <c r="H8" t="s">
        <v>53</v>
      </c>
      <c r="I8" s="14">
        <f>((DATEDIF(C8,E8, "m")*D8)+1)*F8</f>
        <v>395200</v>
      </c>
      <c r="J8" s="14">
        <v>121200</v>
      </c>
      <c r="K8" s="19">
        <f t="shared" si="0"/>
        <v>30.668016194331983</v>
      </c>
      <c r="L8" s="14">
        <v>242410</v>
      </c>
      <c r="M8" s="14">
        <f>I8-117410</f>
        <v>277790</v>
      </c>
      <c r="N8" s="14">
        <v>125000</v>
      </c>
      <c r="O8" s="29">
        <v>0</v>
      </c>
      <c r="P8" s="33">
        <v>0</v>
      </c>
      <c r="Q8" s="38">
        <v>1</v>
      </c>
      <c r="R8" s="38">
        <v>1</v>
      </c>
      <c r="S8" s="14" t="e">
        <f t="shared" si="1"/>
        <v>#DIV/0!</v>
      </c>
      <c r="T8" s="14">
        <f t="shared" si="2"/>
        <v>277790</v>
      </c>
      <c r="U8" s="43">
        <f t="shared" si="3"/>
        <v>6.3771808999081729</v>
      </c>
      <c r="V8" s="38">
        <v>0</v>
      </c>
      <c r="W8" s="5" t="s">
        <v>34</v>
      </c>
      <c r="X8" t="s">
        <v>54</v>
      </c>
      <c r="Z8" t="s">
        <v>38</v>
      </c>
      <c r="AA8">
        <v>0</v>
      </c>
      <c r="AB8">
        <v>0</v>
      </c>
      <c r="AC8" t="s">
        <v>32</v>
      </c>
      <c r="AE8" s="6" t="s">
        <v>36</v>
      </c>
    </row>
    <row r="9" spans="1:51" x14ac:dyDescent="0.25">
      <c r="A9" t="s">
        <v>62</v>
      </c>
      <c r="B9" t="s">
        <v>63</v>
      </c>
      <c r="C9" s="24">
        <v>44377</v>
      </c>
      <c r="F9" s="14">
        <v>425000</v>
      </c>
      <c r="G9" t="s">
        <v>29</v>
      </c>
      <c r="H9" t="s">
        <v>30</v>
      </c>
      <c r="I9" s="14">
        <v>425000</v>
      </c>
      <c r="J9" s="14">
        <v>214700</v>
      </c>
      <c r="K9" s="19">
        <f t="shared" si="0"/>
        <v>50.517647058823535</v>
      </c>
      <c r="L9" s="14">
        <v>429379</v>
      </c>
      <c r="M9" s="14">
        <f>I9-317404</f>
        <v>107596</v>
      </c>
      <c r="N9" s="14">
        <v>111975</v>
      </c>
      <c r="O9" s="29">
        <v>0</v>
      </c>
      <c r="P9" s="33">
        <v>0</v>
      </c>
      <c r="Q9" s="38">
        <v>2.86</v>
      </c>
      <c r="R9" s="38">
        <v>2.86</v>
      </c>
      <c r="S9" s="14" t="e">
        <f t="shared" si="1"/>
        <v>#DIV/0!</v>
      </c>
      <c r="T9" s="14">
        <f t="shared" si="2"/>
        <v>37620.979020979023</v>
      </c>
      <c r="U9" s="43">
        <f t="shared" si="3"/>
        <v>0.86365883886545047</v>
      </c>
      <c r="V9" s="38">
        <v>0</v>
      </c>
      <c r="W9" s="5" t="s">
        <v>34</v>
      </c>
      <c r="X9" t="s">
        <v>64</v>
      </c>
      <c r="Z9" t="s">
        <v>50</v>
      </c>
      <c r="AA9">
        <v>0</v>
      </c>
      <c r="AB9">
        <v>0</v>
      </c>
      <c r="AC9" t="s">
        <v>32</v>
      </c>
      <c r="AE9" s="6" t="s">
        <v>36</v>
      </c>
    </row>
    <row r="10" spans="1:51" x14ac:dyDescent="0.25">
      <c r="A10" t="s">
        <v>47</v>
      </c>
      <c r="B10" t="s">
        <v>48</v>
      </c>
      <c r="C10" s="24">
        <v>44085</v>
      </c>
      <c r="D10" s="48">
        <v>4.4999999999999997E-3</v>
      </c>
      <c r="E10" s="24">
        <v>44652</v>
      </c>
      <c r="F10" s="14">
        <v>1008000</v>
      </c>
      <c r="G10" t="s">
        <v>29</v>
      </c>
      <c r="H10" t="s">
        <v>30</v>
      </c>
      <c r="I10" s="14">
        <f>((DATEDIF(C10,E10, "m")*D10)+1)*F10</f>
        <v>1089648</v>
      </c>
      <c r="J10" s="14">
        <v>428400</v>
      </c>
      <c r="K10" s="19">
        <f t="shared" si="0"/>
        <v>39.315448658649402</v>
      </c>
      <c r="L10" s="14">
        <v>856847</v>
      </c>
      <c r="M10" s="14">
        <f>I10-745434</f>
        <v>344214</v>
      </c>
      <c r="N10" s="14">
        <v>111413</v>
      </c>
      <c r="O10" s="29">
        <v>0</v>
      </c>
      <c r="P10" s="33">
        <v>0</v>
      </c>
      <c r="Q10" s="38">
        <v>2.71</v>
      </c>
      <c r="R10" s="38">
        <v>2.71</v>
      </c>
      <c r="S10" s="14" t="e">
        <f t="shared" si="1"/>
        <v>#DIV/0!</v>
      </c>
      <c r="T10" s="14">
        <f t="shared" si="2"/>
        <v>127016.23616236163</v>
      </c>
      <c r="U10" s="43">
        <f t="shared" si="3"/>
        <v>2.9158915556097713</v>
      </c>
      <c r="V10" s="38">
        <v>0</v>
      </c>
      <c r="W10" s="5" t="s">
        <v>34</v>
      </c>
      <c r="X10" t="s">
        <v>49</v>
      </c>
      <c r="Z10" t="s">
        <v>50</v>
      </c>
      <c r="AA10">
        <v>0</v>
      </c>
      <c r="AB10">
        <v>1</v>
      </c>
      <c r="AC10" t="s">
        <v>32</v>
      </c>
      <c r="AE10" s="6" t="s">
        <v>36</v>
      </c>
    </row>
    <row r="11" spans="1:51" x14ac:dyDescent="0.25">
      <c r="A11" t="s">
        <v>47</v>
      </c>
      <c r="B11" t="s">
        <v>48</v>
      </c>
      <c r="C11" s="24">
        <v>44946</v>
      </c>
      <c r="F11" s="14">
        <v>1250000</v>
      </c>
      <c r="G11" t="s">
        <v>29</v>
      </c>
      <c r="H11" t="s">
        <v>30</v>
      </c>
      <c r="I11" s="14">
        <v>1250000</v>
      </c>
      <c r="J11" s="14">
        <v>428400</v>
      </c>
      <c r="K11" s="19">
        <f t="shared" si="0"/>
        <v>34.272000000000006</v>
      </c>
      <c r="L11" s="14">
        <v>856847</v>
      </c>
      <c r="M11" s="14">
        <f>I11-745434</f>
        <v>504566</v>
      </c>
      <c r="N11" s="14">
        <v>111413</v>
      </c>
      <c r="O11" s="29">
        <v>0</v>
      </c>
      <c r="P11" s="33">
        <v>0</v>
      </c>
      <c r="Q11" s="38">
        <v>2.71</v>
      </c>
      <c r="R11" s="38">
        <v>2.71</v>
      </c>
      <c r="S11" s="14" t="e">
        <f t="shared" si="1"/>
        <v>#DIV/0!</v>
      </c>
      <c r="T11" s="14">
        <f t="shared" si="2"/>
        <v>186186.71586715867</v>
      </c>
      <c r="U11" s="43">
        <f t="shared" si="3"/>
        <v>4.2742588582910619</v>
      </c>
      <c r="V11" s="38">
        <v>0</v>
      </c>
      <c r="W11" s="5" t="s">
        <v>34</v>
      </c>
      <c r="X11" t="s">
        <v>125</v>
      </c>
      <c r="Z11" t="s">
        <v>50</v>
      </c>
      <c r="AA11">
        <v>0</v>
      </c>
      <c r="AB11">
        <v>1</v>
      </c>
      <c r="AC11" t="s">
        <v>32</v>
      </c>
      <c r="AE11" s="6" t="s">
        <v>36</v>
      </c>
    </row>
    <row r="12" spans="1:51" x14ac:dyDescent="0.25">
      <c r="A12" t="s">
        <v>126</v>
      </c>
      <c r="B12" t="s">
        <v>127</v>
      </c>
      <c r="C12" s="24">
        <v>44771</v>
      </c>
      <c r="F12" s="14">
        <v>1250000</v>
      </c>
      <c r="G12" t="s">
        <v>29</v>
      </c>
      <c r="H12" t="s">
        <v>37</v>
      </c>
      <c r="I12" s="14">
        <v>1250000</v>
      </c>
      <c r="J12" s="14">
        <v>449100</v>
      </c>
      <c r="K12" s="19">
        <f t="shared" si="0"/>
        <v>35.927999999999997</v>
      </c>
      <c r="L12" s="14">
        <v>1058439</v>
      </c>
      <c r="M12" s="14">
        <f>I12-559714</f>
        <v>690286</v>
      </c>
      <c r="N12" s="14">
        <v>338500</v>
      </c>
      <c r="O12" s="29">
        <v>0</v>
      </c>
      <c r="P12" s="33">
        <v>0</v>
      </c>
      <c r="Q12" s="38">
        <v>28.94</v>
      </c>
      <c r="R12" s="38">
        <v>18.850000000000001</v>
      </c>
      <c r="S12" s="14" t="e">
        <f t="shared" si="1"/>
        <v>#DIV/0!</v>
      </c>
      <c r="T12" s="14">
        <f t="shared" si="2"/>
        <v>23852.315134761575</v>
      </c>
      <c r="U12" s="43">
        <f t="shared" si="3"/>
        <v>0.54757380933796085</v>
      </c>
      <c r="V12" s="38">
        <v>0</v>
      </c>
      <c r="W12" s="5" t="s">
        <v>34</v>
      </c>
      <c r="X12" t="s">
        <v>128</v>
      </c>
      <c r="Y12" t="s">
        <v>129</v>
      </c>
      <c r="Z12" t="s">
        <v>50</v>
      </c>
      <c r="AA12">
        <v>0</v>
      </c>
      <c r="AB12">
        <v>1</v>
      </c>
      <c r="AC12" t="s">
        <v>32</v>
      </c>
      <c r="AE12" s="6" t="s">
        <v>36</v>
      </c>
    </row>
    <row r="13" spans="1:51" x14ac:dyDescent="0.25">
      <c r="A13" t="s">
        <v>130</v>
      </c>
      <c r="B13" t="s">
        <v>131</v>
      </c>
      <c r="C13" s="24">
        <v>44804</v>
      </c>
      <c r="F13" s="14">
        <v>50000</v>
      </c>
      <c r="G13" t="s">
        <v>29</v>
      </c>
      <c r="H13" t="s">
        <v>30</v>
      </c>
      <c r="I13" s="14">
        <v>50000</v>
      </c>
      <c r="J13" s="14">
        <v>55300</v>
      </c>
      <c r="K13" s="19">
        <f t="shared" si="0"/>
        <v>110.60000000000001</v>
      </c>
      <c r="L13" s="14">
        <v>110575</v>
      </c>
      <c r="M13" s="14">
        <f>I13-0</f>
        <v>50000</v>
      </c>
      <c r="N13" s="14">
        <v>110575</v>
      </c>
      <c r="O13" s="29">
        <v>0</v>
      </c>
      <c r="P13" s="33">
        <v>0</v>
      </c>
      <c r="Q13" s="38">
        <v>2.46</v>
      </c>
      <c r="R13" s="38">
        <v>2.46</v>
      </c>
      <c r="S13" s="14" t="e">
        <f t="shared" si="1"/>
        <v>#DIV/0!</v>
      </c>
      <c r="T13" s="14">
        <f t="shared" si="2"/>
        <v>20325.203252032519</v>
      </c>
      <c r="U13" s="43">
        <f t="shared" si="3"/>
        <v>0.46660246216787232</v>
      </c>
      <c r="V13" s="38">
        <v>0</v>
      </c>
      <c r="W13" s="5" t="s">
        <v>34</v>
      </c>
      <c r="X13" t="s">
        <v>132</v>
      </c>
      <c r="Z13" t="s">
        <v>133</v>
      </c>
      <c r="AA13">
        <v>0</v>
      </c>
      <c r="AB13">
        <v>0</v>
      </c>
      <c r="AC13" t="s">
        <v>32</v>
      </c>
      <c r="AE13" s="6" t="s">
        <v>36</v>
      </c>
    </row>
    <row r="14" spans="1:51" x14ac:dyDescent="0.25">
      <c r="A14" t="s">
        <v>58</v>
      </c>
      <c r="B14" t="s">
        <v>59</v>
      </c>
      <c r="C14" s="24">
        <v>43676</v>
      </c>
      <c r="D14" s="48">
        <v>4.4999999999999997E-3</v>
      </c>
      <c r="E14" s="24">
        <v>44652</v>
      </c>
      <c r="F14" s="14">
        <v>535000</v>
      </c>
      <c r="G14" t="s">
        <v>29</v>
      </c>
      <c r="H14" t="s">
        <v>30</v>
      </c>
      <c r="I14" s="14">
        <f>((DATEDIF(C14,E14, "m")*D14)+1)*F14</f>
        <v>612040</v>
      </c>
      <c r="J14" s="14">
        <v>348800</v>
      </c>
      <c r="K14" s="19">
        <f t="shared" si="0"/>
        <v>56.989739232729889</v>
      </c>
      <c r="L14" s="14">
        <v>697687</v>
      </c>
      <c r="M14" s="14">
        <f>I14-539204</f>
        <v>72836</v>
      </c>
      <c r="N14" s="14">
        <v>158483</v>
      </c>
      <c r="O14" s="29">
        <v>0</v>
      </c>
      <c r="P14" s="33">
        <v>0</v>
      </c>
      <c r="Q14" s="38">
        <v>8.18</v>
      </c>
      <c r="R14" s="38">
        <v>8.18</v>
      </c>
      <c r="S14" s="14" t="e">
        <f t="shared" si="1"/>
        <v>#DIV/0!</v>
      </c>
      <c r="T14" s="14">
        <f t="shared" si="2"/>
        <v>8904.156479217605</v>
      </c>
      <c r="U14" s="43">
        <f t="shared" si="3"/>
        <v>0.20441130576716265</v>
      </c>
      <c r="V14" s="38">
        <v>0</v>
      </c>
      <c r="W14" s="5" t="s">
        <v>31</v>
      </c>
      <c r="X14" t="s">
        <v>60</v>
      </c>
      <c r="Z14" t="s">
        <v>61</v>
      </c>
      <c r="AA14">
        <v>0</v>
      </c>
      <c r="AB14">
        <v>0</v>
      </c>
      <c r="AC14" t="s">
        <v>32</v>
      </c>
      <c r="AE14" s="6" t="s">
        <v>33</v>
      </c>
    </row>
    <row r="15" spans="1:51" x14ac:dyDescent="0.25">
      <c r="A15" t="s">
        <v>134</v>
      </c>
      <c r="B15" t="s">
        <v>135</v>
      </c>
      <c r="C15" s="24">
        <v>44785</v>
      </c>
      <c r="F15" s="14">
        <v>500000</v>
      </c>
      <c r="G15" t="s">
        <v>29</v>
      </c>
      <c r="H15" t="s">
        <v>30</v>
      </c>
      <c r="I15" s="14">
        <v>500000</v>
      </c>
      <c r="J15" s="14">
        <v>202300</v>
      </c>
      <c r="K15" s="19">
        <f t="shared" si="0"/>
        <v>40.46</v>
      </c>
      <c r="L15" s="14">
        <v>404626</v>
      </c>
      <c r="M15" s="14">
        <f>I15-0</f>
        <v>500000</v>
      </c>
      <c r="N15" s="14">
        <v>404626</v>
      </c>
      <c r="O15" s="29">
        <v>0</v>
      </c>
      <c r="P15" s="33">
        <v>0</v>
      </c>
      <c r="Q15" s="38">
        <v>4.33</v>
      </c>
      <c r="R15" s="38">
        <v>4.33</v>
      </c>
      <c r="S15" s="14" t="e">
        <f t="shared" si="1"/>
        <v>#DIV/0!</v>
      </c>
      <c r="T15" s="14">
        <f t="shared" si="2"/>
        <v>115473.44110854503</v>
      </c>
      <c r="U15" s="43">
        <f t="shared" si="3"/>
        <v>2.6509054432632007</v>
      </c>
      <c r="V15" s="38">
        <v>0</v>
      </c>
      <c r="W15" s="5" t="s">
        <v>136</v>
      </c>
      <c r="X15" t="s">
        <v>137</v>
      </c>
      <c r="Z15" t="s">
        <v>138</v>
      </c>
      <c r="AA15">
        <v>0</v>
      </c>
      <c r="AB15">
        <v>0</v>
      </c>
      <c r="AC15" t="s">
        <v>32</v>
      </c>
      <c r="AE15" s="6" t="s">
        <v>139</v>
      </c>
    </row>
    <row r="16" spans="1:51" x14ac:dyDescent="0.25">
      <c r="A16" t="s">
        <v>140</v>
      </c>
      <c r="B16" t="s">
        <v>141</v>
      </c>
      <c r="C16" s="24">
        <v>43235</v>
      </c>
      <c r="D16" s="48">
        <v>4.4999999999999997E-3</v>
      </c>
      <c r="E16" s="24">
        <v>44652</v>
      </c>
      <c r="F16" s="14">
        <v>1400000</v>
      </c>
      <c r="G16" t="s">
        <v>29</v>
      </c>
      <c r="H16" t="s">
        <v>30</v>
      </c>
      <c r="I16" s="14">
        <f>((DATEDIF(C16,E16, "m")*D16)+1)*F16</f>
        <v>1689800</v>
      </c>
      <c r="J16" s="14">
        <v>544300</v>
      </c>
      <c r="K16" s="19">
        <f t="shared" si="0"/>
        <v>32.210912534027699</v>
      </c>
      <c r="L16" s="14">
        <v>1525683</v>
      </c>
      <c r="M16" s="14">
        <f>I16-0</f>
        <v>1689800</v>
      </c>
      <c r="N16" s="14">
        <v>1088592</v>
      </c>
      <c r="O16" s="29">
        <v>0</v>
      </c>
      <c r="P16" s="33">
        <v>0</v>
      </c>
      <c r="Q16" s="38">
        <v>66.22</v>
      </c>
      <c r="R16" s="38">
        <v>59.4</v>
      </c>
      <c r="S16" s="14" t="e">
        <f t="shared" si="1"/>
        <v>#DIV/0!</v>
      </c>
      <c r="T16" s="14">
        <f t="shared" si="2"/>
        <v>25517.970401691331</v>
      </c>
      <c r="U16" s="43">
        <f t="shared" si="3"/>
        <v>0.58581199269263851</v>
      </c>
      <c r="V16" s="38">
        <v>0</v>
      </c>
      <c r="W16" s="5" t="s">
        <v>136</v>
      </c>
      <c r="X16" t="s">
        <v>142</v>
      </c>
      <c r="Y16" t="s">
        <v>143</v>
      </c>
      <c r="Z16" t="s">
        <v>138</v>
      </c>
      <c r="AA16">
        <v>0</v>
      </c>
      <c r="AB16">
        <v>0</v>
      </c>
      <c r="AC16" t="s">
        <v>32</v>
      </c>
      <c r="AE16" s="6" t="s">
        <v>39</v>
      </c>
    </row>
    <row r="17" spans="1:31" x14ac:dyDescent="0.25">
      <c r="A17" t="s">
        <v>144</v>
      </c>
      <c r="B17" t="s">
        <v>145</v>
      </c>
      <c r="C17" s="24">
        <v>44623</v>
      </c>
      <c r="F17" s="14">
        <v>4500000</v>
      </c>
      <c r="G17" t="s">
        <v>29</v>
      </c>
      <c r="H17" t="s">
        <v>30</v>
      </c>
      <c r="I17" s="14">
        <v>4500000</v>
      </c>
      <c r="J17" s="14">
        <v>1248500</v>
      </c>
      <c r="K17" s="19">
        <f t="shared" si="0"/>
        <v>27.744444444444444</v>
      </c>
      <c r="L17" s="14">
        <v>2497079</v>
      </c>
      <c r="M17" s="14">
        <f>I17-2125743</f>
        <v>2374257</v>
      </c>
      <c r="N17" s="14">
        <v>371336</v>
      </c>
      <c r="O17" s="29">
        <v>0</v>
      </c>
      <c r="P17" s="33">
        <v>0</v>
      </c>
      <c r="Q17" s="38">
        <v>2.71</v>
      </c>
      <c r="R17" s="38">
        <v>2.71</v>
      </c>
      <c r="S17" s="14" t="e">
        <f t="shared" si="1"/>
        <v>#DIV/0!</v>
      </c>
      <c r="T17" s="14">
        <f t="shared" si="2"/>
        <v>876109.59409594093</v>
      </c>
      <c r="U17" s="43">
        <f t="shared" si="3"/>
        <v>20.112708771715816</v>
      </c>
      <c r="V17" s="38">
        <v>0</v>
      </c>
      <c r="W17" s="5" t="s">
        <v>31</v>
      </c>
      <c r="X17" t="s">
        <v>146</v>
      </c>
      <c r="Z17" t="s">
        <v>138</v>
      </c>
      <c r="AA17">
        <v>0</v>
      </c>
      <c r="AB17">
        <v>0</v>
      </c>
      <c r="AC17" t="s">
        <v>32</v>
      </c>
      <c r="AE17" s="6" t="s">
        <v>33</v>
      </c>
    </row>
    <row r="18" spans="1:31" x14ac:dyDescent="0.25">
      <c r="A18" t="s">
        <v>65</v>
      </c>
      <c r="B18" t="s">
        <v>66</v>
      </c>
      <c r="C18" s="24">
        <v>43794</v>
      </c>
      <c r="D18" s="48">
        <v>4.4999999999999997E-3</v>
      </c>
      <c r="E18" s="24">
        <v>44652</v>
      </c>
      <c r="F18" s="14">
        <v>2750000</v>
      </c>
      <c r="G18" t="s">
        <v>29</v>
      </c>
      <c r="H18" t="s">
        <v>30</v>
      </c>
      <c r="I18" s="14">
        <f>((DATEDIF(C18,E18, "m")*D18)+1)*F18</f>
        <v>3096499.9999999995</v>
      </c>
      <c r="J18" s="14">
        <v>1617400</v>
      </c>
      <c r="K18" s="19">
        <f t="shared" si="0"/>
        <v>52.23316647828193</v>
      </c>
      <c r="L18" s="14">
        <v>3234848</v>
      </c>
      <c r="M18" s="14">
        <f>I18-2971248</f>
        <v>125251.99999999953</v>
      </c>
      <c r="N18" s="14">
        <v>263600</v>
      </c>
      <c r="O18" s="29">
        <v>0</v>
      </c>
      <c r="P18" s="33">
        <v>0</v>
      </c>
      <c r="Q18" s="38">
        <v>2.12</v>
      </c>
      <c r="R18" s="38">
        <v>2.12</v>
      </c>
      <c r="S18" s="14" t="e">
        <f t="shared" si="1"/>
        <v>#DIV/0!</v>
      </c>
      <c r="T18" s="14">
        <f t="shared" si="2"/>
        <v>59081.132075471476</v>
      </c>
      <c r="U18" s="43">
        <f t="shared" si="3"/>
        <v>1.3563161633487484</v>
      </c>
      <c r="V18" s="38">
        <v>0</v>
      </c>
      <c r="W18" s="5" t="s">
        <v>34</v>
      </c>
      <c r="X18" t="s">
        <v>67</v>
      </c>
      <c r="Z18" t="s">
        <v>35</v>
      </c>
      <c r="AA18">
        <v>0</v>
      </c>
      <c r="AB18">
        <v>1</v>
      </c>
      <c r="AC18" t="s">
        <v>32</v>
      </c>
      <c r="AE18" s="6" t="s">
        <v>36</v>
      </c>
    </row>
    <row r="19" spans="1:31" x14ac:dyDescent="0.25">
      <c r="A19" t="s">
        <v>74</v>
      </c>
      <c r="B19" t="s">
        <v>75</v>
      </c>
      <c r="C19" s="24">
        <v>43754</v>
      </c>
      <c r="D19" s="48">
        <v>4.4999999999999997E-3</v>
      </c>
      <c r="E19" s="24">
        <v>44652</v>
      </c>
      <c r="F19" s="14">
        <v>2600000</v>
      </c>
      <c r="G19" t="s">
        <v>29</v>
      </c>
      <c r="H19" t="s">
        <v>30</v>
      </c>
      <c r="I19" s="14">
        <f>((DATEDIF(C19,E19, "m")*D19)+1)*F19</f>
        <v>2939300</v>
      </c>
      <c r="J19" s="14">
        <v>1300100</v>
      </c>
      <c r="K19" s="19">
        <f t="shared" si="0"/>
        <v>44.231619773415439</v>
      </c>
      <c r="L19" s="14">
        <v>2600211</v>
      </c>
      <c r="M19" s="14">
        <f>I19-2274591</f>
        <v>664709</v>
      </c>
      <c r="N19" s="14">
        <v>325620</v>
      </c>
      <c r="O19" s="29">
        <v>0</v>
      </c>
      <c r="P19" s="33">
        <v>0</v>
      </c>
      <c r="Q19" s="38">
        <v>5.31</v>
      </c>
      <c r="R19" s="38">
        <v>5.31</v>
      </c>
      <c r="S19" s="14" t="e">
        <f t="shared" si="1"/>
        <v>#DIV/0!</v>
      </c>
      <c r="T19" s="14">
        <f t="shared" si="2"/>
        <v>125180.60263653485</v>
      </c>
      <c r="U19" s="43">
        <f t="shared" si="3"/>
        <v>2.8737512083685686</v>
      </c>
      <c r="V19" s="38">
        <v>0</v>
      </c>
      <c r="W19" s="5" t="s">
        <v>34</v>
      </c>
      <c r="X19" t="s">
        <v>76</v>
      </c>
      <c r="Y19" t="s">
        <v>77</v>
      </c>
      <c r="Z19" t="s">
        <v>35</v>
      </c>
      <c r="AA19">
        <v>0</v>
      </c>
      <c r="AB19">
        <v>0</v>
      </c>
      <c r="AC19" t="s">
        <v>32</v>
      </c>
      <c r="AE19" s="6" t="s">
        <v>36</v>
      </c>
    </row>
    <row r="20" spans="1:31" x14ac:dyDescent="0.25">
      <c r="A20" t="s">
        <v>68</v>
      </c>
      <c r="B20" t="s">
        <v>69</v>
      </c>
      <c r="C20" s="24">
        <v>43073</v>
      </c>
      <c r="D20" s="48">
        <v>4.4999999999999997E-3</v>
      </c>
      <c r="E20" s="24">
        <v>44652</v>
      </c>
      <c r="F20" s="14">
        <v>1900000</v>
      </c>
      <c r="G20" t="s">
        <v>29</v>
      </c>
      <c r="H20" t="s">
        <v>30</v>
      </c>
      <c r="I20" s="14">
        <f>((DATEDIF(C20,E20, "m")*D20)+1)*F20</f>
        <v>2336050</v>
      </c>
      <c r="J20" s="14">
        <v>972000</v>
      </c>
      <c r="K20" s="19">
        <f t="shared" si="0"/>
        <v>41.608698443954538</v>
      </c>
      <c r="L20" s="14">
        <v>1944037</v>
      </c>
      <c r="M20" s="14">
        <f>I20-1655167</f>
        <v>680883</v>
      </c>
      <c r="N20" s="14">
        <v>288870</v>
      </c>
      <c r="O20" s="29">
        <v>0</v>
      </c>
      <c r="P20" s="33">
        <v>0</v>
      </c>
      <c r="Q20" s="38">
        <v>3.43</v>
      </c>
      <c r="R20" s="38">
        <v>3.43</v>
      </c>
      <c r="S20" s="14" t="e">
        <f t="shared" si="1"/>
        <v>#DIV/0!</v>
      </c>
      <c r="T20" s="14">
        <f t="shared" si="2"/>
        <v>198508.16326530612</v>
      </c>
      <c r="U20" s="43">
        <f t="shared" si="3"/>
        <v>4.5571203688086808</v>
      </c>
      <c r="V20" s="38">
        <v>0</v>
      </c>
      <c r="W20" s="5" t="s">
        <v>34</v>
      </c>
      <c r="X20" t="s">
        <v>70</v>
      </c>
      <c r="Z20" t="s">
        <v>35</v>
      </c>
      <c r="AA20">
        <v>0</v>
      </c>
      <c r="AB20">
        <v>1</v>
      </c>
      <c r="AC20" t="s">
        <v>32</v>
      </c>
      <c r="AE20" s="6" t="s">
        <v>36</v>
      </c>
    </row>
    <row r="21" spans="1:31" x14ac:dyDescent="0.25">
      <c r="A21" t="s">
        <v>71</v>
      </c>
      <c r="B21" t="s">
        <v>72</v>
      </c>
      <c r="C21" s="24">
        <v>43671</v>
      </c>
      <c r="D21" s="48">
        <v>4.4999999999999997E-3</v>
      </c>
      <c r="E21" s="24">
        <v>44652</v>
      </c>
      <c r="F21" s="14">
        <v>3700000</v>
      </c>
      <c r="G21" t="s">
        <v>29</v>
      </c>
      <c r="H21" t="s">
        <v>30</v>
      </c>
      <c r="I21" s="14">
        <f>((DATEDIF(C21,E21, "m")*D21)+1)*F21</f>
        <v>4232800</v>
      </c>
      <c r="J21" s="14">
        <v>1322000</v>
      </c>
      <c r="K21" s="19">
        <f t="shared" si="0"/>
        <v>31.232281232281235</v>
      </c>
      <c r="L21" s="14">
        <v>2643943</v>
      </c>
      <c r="M21" s="14">
        <f>I21-2358493</f>
        <v>1874307</v>
      </c>
      <c r="N21" s="14">
        <v>285450</v>
      </c>
      <c r="O21" s="29">
        <v>0</v>
      </c>
      <c r="P21" s="33">
        <v>0</v>
      </c>
      <c r="Q21" s="38">
        <v>3.05</v>
      </c>
      <c r="R21" s="38">
        <v>3.05</v>
      </c>
      <c r="S21" s="14" t="e">
        <f t="shared" si="1"/>
        <v>#DIV/0!</v>
      </c>
      <c r="T21" s="14">
        <f t="shared" si="2"/>
        <v>614526.88524590165</v>
      </c>
      <c r="U21" s="43">
        <f t="shared" si="3"/>
        <v>14.10759608002529</v>
      </c>
      <c r="V21" s="38">
        <v>0</v>
      </c>
      <c r="W21" s="5" t="s">
        <v>34</v>
      </c>
      <c r="X21" t="s">
        <v>73</v>
      </c>
      <c r="Z21" t="s">
        <v>35</v>
      </c>
      <c r="AA21">
        <v>0</v>
      </c>
      <c r="AB21">
        <v>1</v>
      </c>
      <c r="AC21" t="s">
        <v>32</v>
      </c>
      <c r="AE21" s="6" t="s">
        <v>36</v>
      </c>
    </row>
    <row r="22" spans="1:31" x14ac:dyDescent="0.25">
      <c r="A22" t="s">
        <v>147</v>
      </c>
      <c r="B22" t="s">
        <v>148</v>
      </c>
      <c r="C22" s="24">
        <v>45077</v>
      </c>
      <c r="F22" s="14">
        <v>150000</v>
      </c>
      <c r="G22" t="s">
        <v>29</v>
      </c>
      <c r="H22" t="s">
        <v>30</v>
      </c>
      <c r="I22" s="14">
        <v>150000</v>
      </c>
      <c r="J22" s="14">
        <v>96600</v>
      </c>
      <c r="K22" s="19">
        <f t="shared" si="0"/>
        <v>64.400000000000006</v>
      </c>
      <c r="L22" s="14">
        <v>193194</v>
      </c>
      <c r="M22" s="14">
        <f>I22-141168</f>
        <v>8832</v>
      </c>
      <c r="N22" s="14">
        <v>52026</v>
      </c>
      <c r="O22" s="29">
        <v>0</v>
      </c>
      <c r="P22" s="33">
        <v>0</v>
      </c>
      <c r="Q22" s="38">
        <v>0.17</v>
      </c>
      <c r="R22" s="38">
        <v>0.17</v>
      </c>
      <c r="S22" s="14" t="e">
        <f t="shared" si="1"/>
        <v>#DIV/0!</v>
      </c>
      <c r="T22" s="14">
        <f t="shared" si="2"/>
        <v>51952.941176470587</v>
      </c>
      <c r="U22" s="43">
        <f t="shared" si="3"/>
        <v>1.1926754172743477</v>
      </c>
      <c r="V22" s="38">
        <v>0</v>
      </c>
      <c r="W22" s="5" t="s">
        <v>80</v>
      </c>
      <c r="X22" t="s">
        <v>149</v>
      </c>
      <c r="Z22" t="s">
        <v>150</v>
      </c>
      <c r="AA22">
        <v>0</v>
      </c>
      <c r="AB22">
        <v>0</v>
      </c>
      <c r="AC22" t="s">
        <v>32</v>
      </c>
      <c r="AE22" s="6" t="s">
        <v>36</v>
      </c>
    </row>
    <row r="23" spans="1:31" x14ac:dyDescent="0.25">
      <c r="A23" t="s">
        <v>88</v>
      </c>
      <c r="B23" t="s">
        <v>89</v>
      </c>
      <c r="C23" s="24">
        <v>42375</v>
      </c>
      <c r="D23" s="48">
        <v>4.4999999999999997E-3</v>
      </c>
      <c r="E23" s="24">
        <v>44652</v>
      </c>
      <c r="F23" s="14">
        <v>70000</v>
      </c>
      <c r="G23" t="s">
        <v>29</v>
      </c>
      <c r="H23" t="s">
        <v>30</v>
      </c>
      <c r="I23" s="14">
        <f>((DATEDIF(C23,E23, "m")*D23)+1)*F23</f>
        <v>93310</v>
      </c>
      <c r="J23" s="14">
        <v>72800</v>
      </c>
      <c r="K23" s="19">
        <f t="shared" si="0"/>
        <v>78.019504876219059</v>
      </c>
      <c r="L23" s="14">
        <v>145619</v>
      </c>
      <c r="M23" s="14">
        <f>I23-82006</f>
        <v>11304</v>
      </c>
      <c r="N23" s="14">
        <v>63613</v>
      </c>
      <c r="O23" s="29">
        <v>0</v>
      </c>
      <c r="P23" s="33">
        <v>0</v>
      </c>
      <c r="Q23" s="38">
        <v>0.25</v>
      </c>
      <c r="R23" s="38">
        <v>0.25</v>
      </c>
      <c r="S23" s="14" t="e">
        <f t="shared" si="1"/>
        <v>#DIV/0!</v>
      </c>
      <c r="T23" s="14">
        <f t="shared" si="2"/>
        <v>45216</v>
      </c>
      <c r="U23" s="43">
        <f t="shared" si="3"/>
        <v>1.0380165289256198</v>
      </c>
      <c r="V23" s="38">
        <v>0</v>
      </c>
      <c r="W23" s="5" t="s">
        <v>80</v>
      </c>
      <c r="X23" t="s">
        <v>90</v>
      </c>
      <c r="Z23" t="s">
        <v>150</v>
      </c>
      <c r="AA23">
        <v>0</v>
      </c>
      <c r="AB23">
        <v>0</v>
      </c>
      <c r="AC23" t="s">
        <v>32</v>
      </c>
      <c r="AE23" s="6" t="s">
        <v>36</v>
      </c>
    </row>
    <row r="24" spans="1:31" x14ac:dyDescent="0.25">
      <c r="A24" t="s">
        <v>78</v>
      </c>
      <c r="B24" t="s">
        <v>79</v>
      </c>
      <c r="C24" s="24">
        <v>42153</v>
      </c>
      <c r="D24" s="48">
        <v>4.4999999999999997E-3</v>
      </c>
      <c r="E24" s="24">
        <v>44652</v>
      </c>
      <c r="F24" s="14">
        <v>125000</v>
      </c>
      <c r="G24" t="s">
        <v>42</v>
      </c>
      <c r="H24" t="s">
        <v>30</v>
      </c>
      <c r="I24" s="14">
        <f>((DATEDIF(C24,E24, "m")*D24)+1)*F24</f>
        <v>171125</v>
      </c>
      <c r="J24" s="14">
        <v>73800</v>
      </c>
      <c r="K24" s="19">
        <f t="shared" si="0"/>
        <v>43.126369612856095</v>
      </c>
      <c r="L24" s="14">
        <v>147592</v>
      </c>
      <c r="M24" s="14">
        <f>I24-130168</f>
        <v>40957</v>
      </c>
      <c r="N24" s="14">
        <v>17424</v>
      </c>
      <c r="O24" s="29">
        <v>0</v>
      </c>
      <c r="P24" s="33">
        <v>0</v>
      </c>
      <c r="Q24" s="38">
        <v>0.04</v>
      </c>
      <c r="R24" s="38">
        <v>0.04</v>
      </c>
      <c r="S24" s="14" t="e">
        <f t="shared" si="1"/>
        <v>#DIV/0!</v>
      </c>
      <c r="T24" s="14">
        <f t="shared" si="2"/>
        <v>1023925</v>
      </c>
      <c r="U24" s="43">
        <f t="shared" si="3"/>
        <v>23.506083562901743</v>
      </c>
      <c r="V24" s="38">
        <v>0</v>
      </c>
      <c r="W24" s="5" t="s">
        <v>80</v>
      </c>
      <c r="X24" t="s">
        <v>81</v>
      </c>
      <c r="Z24" t="s">
        <v>150</v>
      </c>
      <c r="AA24">
        <v>0</v>
      </c>
      <c r="AB24">
        <v>0</v>
      </c>
      <c r="AC24" t="s">
        <v>32</v>
      </c>
      <c r="AE24" s="6" t="s">
        <v>36</v>
      </c>
    </row>
    <row r="25" spans="1:31" x14ac:dyDescent="0.25">
      <c r="A25" t="s">
        <v>82</v>
      </c>
      <c r="B25" t="s">
        <v>83</v>
      </c>
      <c r="C25" s="24">
        <v>44426</v>
      </c>
      <c r="F25" s="14">
        <v>100000</v>
      </c>
      <c r="G25" t="s">
        <v>29</v>
      </c>
      <c r="H25" t="s">
        <v>30</v>
      </c>
      <c r="I25" s="14">
        <v>100000</v>
      </c>
      <c r="J25" s="14">
        <v>52000</v>
      </c>
      <c r="K25" s="19">
        <f t="shared" si="0"/>
        <v>52</v>
      </c>
      <c r="L25" s="14">
        <v>103990</v>
      </c>
      <c r="M25" s="14">
        <f>I25-39833</f>
        <v>60167</v>
      </c>
      <c r="N25" s="14">
        <v>64157</v>
      </c>
      <c r="O25" s="29">
        <v>0</v>
      </c>
      <c r="P25" s="33">
        <v>0</v>
      </c>
      <c r="Q25" s="38">
        <v>0.26</v>
      </c>
      <c r="R25" s="38">
        <v>0.26</v>
      </c>
      <c r="S25" s="14" t="e">
        <f t="shared" si="1"/>
        <v>#DIV/0!</v>
      </c>
      <c r="T25" s="14">
        <f t="shared" si="2"/>
        <v>231411.53846153844</v>
      </c>
      <c r="U25" s="43">
        <f t="shared" si="3"/>
        <v>5.3124779261142896</v>
      </c>
      <c r="V25" s="38">
        <v>0</v>
      </c>
      <c r="W25" s="5" t="s">
        <v>80</v>
      </c>
      <c r="X25" t="s">
        <v>84</v>
      </c>
      <c r="Z25" t="s">
        <v>150</v>
      </c>
      <c r="AA25">
        <v>0</v>
      </c>
      <c r="AB25">
        <v>0</v>
      </c>
      <c r="AC25" t="s">
        <v>32</v>
      </c>
      <c r="AE25" s="6" t="s">
        <v>36</v>
      </c>
    </row>
    <row r="26" spans="1:31" x14ac:dyDescent="0.25">
      <c r="A26" t="s">
        <v>85</v>
      </c>
      <c r="B26" t="s">
        <v>86</v>
      </c>
      <c r="C26" s="24">
        <v>44357</v>
      </c>
      <c r="F26" s="14">
        <v>244000</v>
      </c>
      <c r="G26" t="s">
        <v>29</v>
      </c>
      <c r="H26" t="s">
        <v>30</v>
      </c>
      <c r="I26" s="14">
        <v>244000</v>
      </c>
      <c r="J26" s="14">
        <v>84800</v>
      </c>
      <c r="K26" s="19">
        <f t="shared" si="0"/>
        <v>34.754098360655739</v>
      </c>
      <c r="L26" s="14">
        <v>169524</v>
      </c>
      <c r="M26" s="14">
        <f>I26-138615</f>
        <v>105385</v>
      </c>
      <c r="N26" s="14">
        <v>30909</v>
      </c>
      <c r="O26" s="29">
        <v>0</v>
      </c>
      <c r="P26" s="33">
        <v>0</v>
      </c>
      <c r="Q26" s="38">
        <v>0.08</v>
      </c>
      <c r="R26" s="38">
        <v>0.08</v>
      </c>
      <c r="S26" s="14" t="e">
        <f t="shared" si="1"/>
        <v>#DIV/0!</v>
      </c>
      <c r="T26" s="14">
        <f t="shared" si="2"/>
        <v>1317312.5</v>
      </c>
      <c r="U26" s="43">
        <f t="shared" si="3"/>
        <v>30.241333792470154</v>
      </c>
      <c r="V26" s="38">
        <v>0</v>
      </c>
      <c r="W26" s="5" t="s">
        <v>80</v>
      </c>
      <c r="X26" t="s">
        <v>87</v>
      </c>
      <c r="Z26" t="s">
        <v>150</v>
      </c>
      <c r="AA26">
        <v>0</v>
      </c>
      <c r="AB26">
        <v>0</v>
      </c>
      <c r="AC26" t="s">
        <v>32</v>
      </c>
      <c r="AE26" s="6" t="s">
        <v>36</v>
      </c>
    </row>
    <row r="27" spans="1:31" ht="15.75" thickBot="1" x14ac:dyDescent="0.3">
      <c r="A27" t="s">
        <v>85</v>
      </c>
      <c r="B27" t="s">
        <v>86</v>
      </c>
      <c r="C27" s="24">
        <v>44733</v>
      </c>
      <c r="F27" s="14">
        <v>335000</v>
      </c>
      <c r="G27" t="s">
        <v>29</v>
      </c>
      <c r="H27" t="s">
        <v>30</v>
      </c>
      <c r="I27" s="14">
        <v>335000</v>
      </c>
      <c r="J27" s="14">
        <v>84800</v>
      </c>
      <c r="K27" s="19">
        <f t="shared" si="0"/>
        <v>25.313432835820898</v>
      </c>
      <c r="L27" s="14">
        <v>169524</v>
      </c>
      <c r="M27" s="14">
        <f>I27-138615</f>
        <v>196385</v>
      </c>
      <c r="N27" s="14">
        <v>30909</v>
      </c>
      <c r="O27" s="29">
        <v>0</v>
      </c>
      <c r="P27" s="33">
        <v>0</v>
      </c>
      <c r="Q27" s="38">
        <v>0.08</v>
      </c>
      <c r="R27" s="38">
        <v>0.08</v>
      </c>
      <c r="S27" s="14" t="e">
        <f t="shared" si="1"/>
        <v>#DIV/0!</v>
      </c>
      <c r="T27" s="14">
        <f t="shared" si="2"/>
        <v>2454812.5</v>
      </c>
      <c r="U27" s="43">
        <f t="shared" si="3"/>
        <v>56.354740587695133</v>
      </c>
      <c r="V27" s="38">
        <v>0</v>
      </c>
      <c r="W27" s="5" t="s">
        <v>80</v>
      </c>
      <c r="X27" t="s">
        <v>151</v>
      </c>
      <c r="Z27" t="s">
        <v>150</v>
      </c>
      <c r="AA27">
        <v>0</v>
      </c>
      <c r="AB27">
        <v>0</v>
      </c>
      <c r="AC27" t="s">
        <v>32</v>
      </c>
      <c r="AE27" s="6" t="s">
        <v>36</v>
      </c>
    </row>
    <row r="28" spans="1:31" ht="15.75" thickTop="1" x14ac:dyDescent="0.25">
      <c r="A28" s="7"/>
      <c r="B28" s="7"/>
      <c r="C28" s="25" t="s">
        <v>91</v>
      </c>
      <c r="D28" s="25"/>
      <c r="E28" s="25"/>
      <c r="F28" s="15">
        <f>+SUM(F3:F27)</f>
        <v>24284999</v>
      </c>
      <c r="G28" s="7"/>
      <c r="H28" s="7"/>
      <c r="I28" s="15">
        <f>+SUM(I3:I27)</f>
        <v>26602764.5</v>
      </c>
      <c r="J28" s="15">
        <f>+SUM(J3:J27)</f>
        <v>10340800</v>
      </c>
      <c r="K28" s="20"/>
      <c r="L28" s="15">
        <f>+SUM(L3:L27)</f>
        <v>21278884</v>
      </c>
      <c r="M28" s="15">
        <f>+SUM(M3:M27)</f>
        <v>10880840.5</v>
      </c>
      <c r="N28" s="15">
        <f>+SUM(N3:N27)</f>
        <v>4959644</v>
      </c>
      <c r="O28" s="30">
        <f>+SUM(O3:O27)</f>
        <v>0</v>
      </c>
      <c r="P28" s="34"/>
      <c r="Q28" s="39">
        <f>+SUM(Q3:Q27)</f>
        <v>147.42000000000004</v>
      </c>
      <c r="R28" s="39">
        <f>+SUM(R3:R27)</f>
        <v>130.51</v>
      </c>
      <c r="S28" s="15"/>
      <c r="T28" s="15"/>
      <c r="U28" s="44"/>
      <c r="V28" s="39"/>
      <c r="W28" s="8"/>
      <c r="X28" s="7"/>
      <c r="Y28" s="7"/>
      <c r="Z28" s="7"/>
      <c r="AA28" s="7"/>
      <c r="AB28" s="7"/>
      <c r="AC28" s="7"/>
      <c r="AD28" s="7"/>
      <c r="AE28" s="7"/>
    </row>
    <row r="29" spans="1:31" x14ac:dyDescent="0.25">
      <c r="A29" s="9"/>
      <c r="B29" s="9"/>
      <c r="C29" s="26"/>
      <c r="D29" s="26"/>
      <c r="E29" s="26"/>
      <c r="F29" s="16"/>
      <c r="G29" s="9"/>
      <c r="H29" s="9"/>
      <c r="I29" s="16"/>
      <c r="J29" s="16" t="s">
        <v>92</v>
      </c>
      <c r="K29" s="21">
        <f>J28/I28*100</f>
        <v>38.871148147028102</v>
      </c>
      <c r="L29" s="16"/>
      <c r="M29" s="16"/>
      <c r="N29" s="16" t="s">
        <v>93</v>
      </c>
      <c r="O29" s="31"/>
      <c r="P29" s="35"/>
      <c r="Q29" s="40" t="s">
        <v>93</v>
      </c>
      <c r="R29" s="40"/>
      <c r="S29" s="16"/>
      <c r="T29" s="16" t="s">
        <v>93</v>
      </c>
      <c r="U29" s="45"/>
      <c r="V29" s="40"/>
      <c r="W29" s="10"/>
      <c r="X29" s="9"/>
      <c r="Y29" s="9"/>
      <c r="Z29" s="9"/>
      <c r="AA29" s="9"/>
      <c r="AB29" s="9"/>
      <c r="AC29" s="9"/>
      <c r="AD29" s="9"/>
      <c r="AE29" s="9"/>
    </row>
    <row r="30" spans="1:31" x14ac:dyDescent="0.25">
      <c r="A30" s="11"/>
      <c r="B30" s="11"/>
      <c r="C30" s="27"/>
      <c r="D30" s="27"/>
      <c r="E30" s="27"/>
      <c r="F30" s="17"/>
      <c r="G30" s="11"/>
      <c r="H30" s="11"/>
      <c r="I30" s="17"/>
      <c r="J30" s="17" t="s">
        <v>94</v>
      </c>
      <c r="K30" s="22">
        <f>STDEV(K3:K27)</f>
        <v>22.508777162177722</v>
      </c>
      <c r="L30" s="17"/>
      <c r="M30" s="17"/>
      <c r="N30" s="17" t="s">
        <v>95</v>
      </c>
      <c r="O30" s="47" t="e">
        <f>M28/O28</f>
        <v>#DIV/0!</v>
      </c>
      <c r="P30" s="36"/>
      <c r="Q30" s="41" t="s">
        <v>96</v>
      </c>
      <c r="R30" s="41">
        <f>M28/Q28</f>
        <v>73808.441866775174</v>
      </c>
      <c r="S30" s="17"/>
      <c r="T30" s="17" t="s">
        <v>97</v>
      </c>
      <c r="U30" s="46">
        <f>M28/Q28/43560</f>
        <v>1.6944086746275293</v>
      </c>
      <c r="V30" s="41"/>
      <c r="W30" s="12"/>
      <c r="X30" s="11"/>
      <c r="Y30" s="11"/>
      <c r="Z30" s="11"/>
      <c r="AA30" s="11"/>
      <c r="AB30" s="11"/>
      <c r="AC30" s="11"/>
      <c r="AD30" s="11"/>
      <c r="AE30" s="11"/>
    </row>
    <row r="34" spans="1:51" x14ac:dyDescent="0.25">
      <c r="A34" s="49" t="s">
        <v>114</v>
      </c>
    </row>
    <row r="35" spans="1:51" x14ac:dyDescent="0.25">
      <c r="A35" s="1" t="s">
        <v>0</v>
      </c>
      <c r="B35" s="1" t="s">
        <v>1</v>
      </c>
      <c r="C35" s="23" t="s">
        <v>2</v>
      </c>
      <c r="D35" s="23"/>
      <c r="E35" s="23"/>
      <c r="F35" s="13" t="s">
        <v>3</v>
      </c>
      <c r="G35" s="1" t="s">
        <v>4</v>
      </c>
      <c r="H35" s="1" t="s">
        <v>5</v>
      </c>
      <c r="I35" s="13" t="s">
        <v>6</v>
      </c>
      <c r="J35" s="13" t="s">
        <v>7</v>
      </c>
      <c r="K35" s="18" t="s">
        <v>8</v>
      </c>
      <c r="L35" s="13" t="s">
        <v>9</v>
      </c>
      <c r="M35" s="13" t="s">
        <v>10</v>
      </c>
      <c r="N35" s="13" t="s">
        <v>11</v>
      </c>
      <c r="O35" s="28" t="s">
        <v>12</v>
      </c>
      <c r="P35" s="32" t="s">
        <v>13</v>
      </c>
      <c r="Q35" s="37" t="s">
        <v>14</v>
      </c>
      <c r="R35" s="37" t="s">
        <v>15</v>
      </c>
      <c r="S35" s="13" t="s">
        <v>16</v>
      </c>
      <c r="T35" s="13" t="s">
        <v>17</v>
      </c>
      <c r="U35" s="42" t="s">
        <v>18</v>
      </c>
      <c r="V35" s="37" t="s">
        <v>19</v>
      </c>
      <c r="W35" s="3" t="s">
        <v>20</v>
      </c>
      <c r="X35" s="1" t="s">
        <v>21</v>
      </c>
      <c r="Y35" s="1" t="s">
        <v>22</v>
      </c>
      <c r="Z35" s="1" t="s">
        <v>23</v>
      </c>
      <c r="AA35" s="1" t="s">
        <v>24</v>
      </c>
      <c r="AB35" s="1" t="s">
        <v>25</v>
      </c>
      <c r="AC35" s="1" t="s">
        <v>26</v>
      </c>
      <c r="AD35" s="1" t="s">
        <v>27</v>
      </c>
      <c r="AE35" s="1" t="s">
        <v>28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x14ac:dyDescent="0.25">
      <c r="A36" t="s">
        <v>118</v>
      </c>
      <c r="B36" t="s">
        <v>119</v>
      </c>
      <c r="C36" s="24">
        <v>43934</v>
      </c>
      <c r="D36" s="48">
        <v>4.4999999999999997E-3</v>
      </c>
      <c r="E36" s="24">
        <v>44652</v>
      </c>
      <c r="F36" s="14">
        <v>35000</v>
      </c>
      <c r="G36" t="s">
        <v>29</v>
      </c>
      <c r="H36" t="s">
        <v>30</v>
      </c>
      <c r="I36" s="14">
        <f>((DATEDIF(C36,E36, "m")*D36)+1)*F36</f>
        <v>38622.5</v>
      </c>
      <c r="J36" s="14">
        <v>43500</v>
      </c>
      <c r="K36" s="19">
        <f t="shared" ref="K36:K42" si="4">J36/I36*100</f>
        <v>112.62864910350186</v>
      </c>
      <c r="L36" s="14">
        <v>86968</v>
      </c>
      <c r="M36" s="14">
        <f>I36-15718</f>
        <v>22904.5</v>
      </c>
      <c r="N36" s="14">
        <v>71250</v>
      </c>
      <c r="O36" s="29">
        <v>0</v>
      </c>
      <c r="P36" s="33">
        <v>0</v>
      </c>
      <c r="Q36" s="38">
        <v>0.56999999999999995</v>
      </c>
      <c r="R36" s="38">
        <v>0.56999999999999995</v>
      </c>
      <c r="S36" s="14" t="e">
        <f t="shared" ref="S36:S42" si="5">M36/O36</f>
        <v>#DIV/0!</v>
      </c>
      <c r="T36" s="14">
        <f t="shared" ref="T36:T42" si="6">M36/Q36</f>
        <v>40183.333333333336</v>
      </c>
      <c r="U36" s="43">
        <f t="shared" ref="U36:U42" si="7">M36/Q36/43560</f>
        <v>0.92248239975512714</v>
      </c>
      <c r="V36" s="38">
        <v>0</v>
      </c>
      <c r="W36" s="5" t="s">
        <v>120</v>
      </c>
      <c r="X36" t="s">
        <v>121</v>
      </c>
      <c r="Z36" t="s">
        <v>38</v>
      </c>
      <c r="AA36">
        <v>0</v>
      </c>
      <c r="AB36">
        <v>0</v>
      </c>
      <c r="AC36" t="s">
        <v>32</v>
      </c>
      <c r="AE36" s="6" t="s">
        <v>36</v>
      </c>
    </row>
    <row r="37" spans="1:51" x14ac:dyDescent="0.25">
      <c r="A37" t="s">
        <v>122</v>
      </c>
      <c r="B37" t="s">
        <v>123</v>
      </c>
      <c r="C37" s="24">
        <v>44960</v>
      </c>
      <c r="F37" s="14">
        <v>288000</v>
      </c>
      <c r="G37" t="s">
        <v>29</v>
      </c>
      <c r="H37" t="s">
        <v>30</v>
      </c>
      <c r="I37" s="14">
        <v>288000</v>
      </c>
      <c r="J37" s="14">
        <v>123100</v>
      </c>
      <c r="K37" s="19">
        <f t="shared" si="4"/>
        <v>42.743055555555557</v>
      </c>
      <c r="L37" s="14">
        <v>246151</v>
      </c>
      <c r="M37" s="14">
        <f>I37-131151</f>
        <v>156849</v>
      </c>
      <c r="N37" s="14">
        <v>115000</v>
      </c>
      <c r="O37" s="29">
        <v>0</v>
      </c>
      <c r="P37" s="33">
        <v>0</v>
      </c>
      <c r="Q37" s="38">
        <v>0.92</v>
      </c>
      <c r="R37" s="38">
        <v>0.92</v>
      </c>
      <c r="S37" s="14" t="e">
        <f t="shared" si="5"/>
        <v>#DIV/0!</v>
      </c>
      <c r="T37" s="14">
        <f t="shared" si="6"/>
        <v>170488.04347826086</v>
      </c>
      <c r="U37" s="43">
        <f t="shared" si="7"/>
        <v>3.9138669301712778</v>
      </c>
      <c r="V37" s="38">
        <v>0</v>
      </c>
      <c r="W37" s="5" t="s">
        <v>34</v>
      </c>
      <c r="X37" t="s">
        <v>124</v>
      </c>
      <c r="Z37" t="s">
        <v>38</v>
      </c>
      <c r="AA37">
        <v>0</v>
      </c>
      <c r="AB37">
        <v>0</v>
      </c>
      <c r="AC37" t="s">
        <v>32</v>
      </c>
      <c r="AE37" s="6" t="s">
        <v>36</v>
      </c>
    </row>
    <row r="38" spans="1:51" x14ac:dyDescent="0.25">
      <c r="A38" t="s">
        <v>51</v>
      </c>
      <c r="B38" t="s">
        <v>52</v>
      </c>
      <c r="C38" s="24">
        <v>43179</v>
      </c>
      <c r="D38" s="48">
        <v>4.4999999999999997E-3</v>
      </c>
      <c r="E38" s="24">
        <v>44652</v>
      </c>
      <c r="F38" s="14">
        <v>325000</v>
      </c>
      <c r="G38" t="s">
        <v>42</v>
      </c>
      <c r="H38" t="s">
        <v>53</v>
      </c>
      <c r="I38" s="14">
        <f>((DATEDIF(C38,E38, "m")*D38)+1)*F38</f>
        <v>395200</v>
      </c>
      <c r="J38" s="14">
        <v>121200</v>
      </c>
      <c r="K38" s="19">
        <f t="shared" si="4"/>
        <v>30.668016194331983</v>
      </c>
      <c r="L38" s="14">
        <v>242410</v>
      </c>
      <c r="M38" s="14">
        <f>I38-117410</f>
        <v>277790</v>
      </c>
      <c r="N38" s="14">
        <v>125000</v>
      </c>
      <c r="O38" s="29">
        <v>0</v>
      </c>
      <c r="P38" s="33">
        <v>0</v>
      </c>
      <c r="Q38" s="38">
        <v>1</v>
      </c>
      <c r="R38" s="38">
        <v>1</v>
      </c>
      <c r="S38" s="14" t="e">
        <f t="shared" si="5"/>
        <v>#DIV/0!</v>
      </c>
      <c r="T38" s="14">
        <f t="shared" si="6"/>
        <v>277790</v>
      </c>
      <c r="U38" s="43">
        <f t="shared" si="7"/>
        <v>6.3771808999081729</v>
      </c>
      <c r="V38" s="38">
        <v>0</v>
      </c>
      <c r="W38" s="5" t="s">
        <v>34</v>
      </c>
      <c r="X38" t="s">
        <v>54</v>
      </c>
      <c r="Z38" t="s">
        <v>38</v>
      </c>
      <c r="AA38">
        <v>0</v>
      </c>
      <c r="AB38">
        <v>0</v>
      </c>
      <c r="AC38" t="s">
        <v>32</v>
      </c>
      <c r="AE38" s="6" t="s">
        <v>36</v>
      </c>
    </row>
    <row r="39" spans="1:51" x14ac:dyDescent="0.25">
      <c r="A39" t="s">
        <v>55</v>
      </c>
      <c r="B39" t="s">
        <v>56</v>
      </c>
      <c r="C39" s="24">
        <v>44432</v>
      </c>
      <c r="F39" s="14">
        <v>285000</v>
      </c>
      <c r="G39" t="s">
        <v>29</v>
      </c>
      <c r="H39" t="s">
        <v>30</v>
      </c>
      <c r="I39" s="14">
        <v>285000</v>
      </c>
      <c r="J39" s="14">
        <v>170900</v>
      </c>
      <c r="K39" s="19">
        <f t="shared" si="4"/>
        <v>59.964912280701753</v>
      </c>
      <c r="L39" s="14">
        <v>341789</v>
      </c>
      <c r="M39" s="14">
        <f>I39-213599</f>
        <v>71401</v>
      </c>
      <c r="N39" s="14">
        <v>128190</v>
      </c>
      <c r="O39" s="29">
        <v>0</v>
      </c>
      <c r="P39" s="33">
        <v>0</v>
      </c>
      <c r="Q39" s="38">
        <v>1.1100000000000001</v>
      </c>
      <c r="R39" s="38">
        <v>1.1100000000000001</v>
      </c>
      <c r="S39" s="14" t="e">
        <f t="shared" si="5"/>
        <v>#DIV/0!</v>
      </c>
      <c r="T39" s="14">
        <f t="shared" si="6"/>
        <v>64325.225225225222</v>
      </c>
      <c r="U39" s="43">
        <f t="shared" si="7"/>
        <v>1.4767039767039767</v>
      </c>
      <c r="V39" s="38">
        <v>0</v>
      </c>
      <c r="W39" s="5" t="s">
        <v>34</v>
      </c>
      <c r="X39" t="s">
        <v>57</v>
      </c>
      <c r="Z39" t="s">
        <v>38</v>
      </c>
      <c r="AA39">
        <v>0</v>
      </c>
      <c r="AB39">
        <v>0</v>
      </c>
      <c r="AC39" t="s">
        <v>32</v>
      </c>
      <c r="AE39" s="6" t="s">
        <v>36</v>
      </c>
    </row>
    <row r="40" spans="1:51" x14ac:dyDescent="0.25">
      <c r="A40" t="s">
        <v>44</v>
      </c>
      <c r="B40" t="s">
        <v>45</v>
      </c>
      <c r="C40" s="24">
        <v>44602</v>
      </c>
      <c r="F40" s="14">
        <v>199999</v>
      </c>
      <c r="G40" t="s">
        <v>29</v>
      </c>
      <c r="H40" t="s">
        <v>30</v>
      </c>
      <c r="I40" s="14">
        <v>199999</v>
      </c>
      <c r="J40" s="14">
        <v>84100</v>
      </c>
      <c r="K40" s="19">
        <f t="shared" si="4"/>
        <v>42.050210251051254</v>
      </c>
      <c r="L40" s="14">
        <v>168122</v>
      </c>
      <c r="M40" s="14">
        <f>I40-34422</f>
        <v>165577</v>
      </c>
      <c r="N40" s="14">
        <v>133700</v>
      </c>
      <c r="O40" s="29">
        <v>0</v>
      </c>
      <c r="P40" s="33">
        <v>0</v>
      </c>
      <c r="Q40" s="38">
        <v>1.3</v>
      </c>
      <c r="R40" s="38">
        <v>1.3</v>
      </c>
      <c r="S40" s="14" t="e">
        <f t="shared" si="5"/>
        <v>#DIV/0!</v>
      </c>
      <c r="T40" s="14">
        <f t="shared" si="6"/>
        <v>127366.92307692308</v>
      </c>
      <c r="U40" s="43">
        <f t="shared" si="7"/>
        <v>2.923942219396765</v>
      </c>
      <c r="V40" s="38">
        <v>0</v>
      </c>
      <c r="W40" s="5" t="s">
        <v>34</v>
      </c>
      <c r="X40" t="s">
        <v>46</v>
      </c>
      <c r="Z40" t="s">
        <v>38</v>
      </c>
      <c r="AA40">
        <v>0</v>
      </c>
      <c r="AB40">
        <v>0</v>
      </c>
      <c r="AC40" t="s">
        <v>32</v>
      </c>
      <c r="AE40" s="6" t="s">
        <v>36</v>
      </c>
    </row>
    <row r="41" spans="1:51" x14ac:dyDescent="0.25">
      <c r="A41" t="s">
        <v>40</v>
      </c>
      <c r="B41" t="s">
        <v>41</v>
      </c>
      <c r="C41" s="24">
        <v>42787</v>
      </c>
      <c r="D41" s="48">
        <v>4.4999999999999997E-3</v>
      </c>
      <c r="E41" s="24">
        <v>44652</v>
      </c>
      <c r="F41" s="14">
        <v>260000</v>
      </c>
      <c r="G41" t="s">
        <v>42</v>
      </c>
      <c r="H41" t="s">
        <v>30</v>
      </c>
      <c r="I41" s="14">
        <f>((DATEDIF(C41,E41, "m")*D41)+1)*F41</f>
        <v>331370</v>
      </c>
      <c r="J41" s="14">
        <v>201900</v>
      </c>
      <c r="K41" s="19">
        <f t="shared" si="4"/>
        <v>60.928871050487366</v>
      </c>
      <c r="L41" s="14">
        <v>403800</v>
      </c>
      <c r="M41" s="14">
        <f>I41-246787</f>
        <v>84583</v>
      </c>
      <c r="N41" s="14">
        <v>157013</v>
      </c>
      <c r="O41" s="29">
        <v>0</v>
      </c>
      <c r="P41" s="33">
        <v>0</v>
      </c>
      <c r="Q41" s="38">
        <v>6.61</v>
      </c>
      <c r="R41" s="38">
        <v>6.61</v>
      </c>
      <c r="S41" s="14" t="e">
        <f t="shared" si="5"/>
        <v>#DIV/0!</v>
      </c>
      <c r="T41" s="14">
        <f t="shared" si="6"/>
        <v>12796.217851739788</v>
      </c>
      <c r="U41" s="43">
        <f t="shared" si="7"/>
        <v>0.29376074039806677</v>
      </c>
      <c r="V41" s="38">
        <v>0</v>
      </c>
      <c r="W41" s="5" t="s">
        <v>34</v>
      </c>
      <c r="X41" t="s">
        <v>43</v>
      </c>
      <c r="Z41" t="s">
        <v>38</v>
      </c>
      <c r="AA41">
        <v>0</v>
      </c>
      <c r="AB41">
        <v>1</v>
      </c>
      <c r="AC41" t="s">
        <v>32</v>
      </c>
      <c r="AE41" s="6" t="s">
        <v>36</v>
      </c>
    </row>
    <row r="42" spans="1:51" ht="15.75" thickBot="1" x14ac:dyDescent="0.3">
      <c r="A42" t="s">
        <v>58</v>
      </c>
      <c r="B42" t="s">
        <v>59</v>
      </c>
      <c r="C42" s="24">
        <v>43676</v>
      </c>
      <c r="D42" s="48">
        <v>4.4999999999999997E-3</v>
      </c>
      <c r="E42" s="24">
        <v>44652</v>
      </c>
      <c r="F42" s="14">
        <v>535000</v>
      </c>
      <c r="G42" t="s">
        <v>29</v>
      </c>
      <c r="H42" t="s">
        <v>30</v>
      </c>
      <c r="I42" s="14">
        <f>((DATEDIF(C42,E42, "m")*D42)+1)*F42</f>
        <v>612040</v>
      </c>
      <c r="J42" s="14">
        <v>348800</v>
      </c>
      <c r="K42" s="19">
        <f t="shared" si="4"/>
        <v>56.989739232729889</v>
      </c>
      <c r="L42" s="14">
        <v>697687</v>
      </c>
      <c r="M42" s="14">
        <f>I42-539204</f>
        <v>72836</v>
      </c>
      <c r="N42" s="14">
        <v>158483</v>
      </c>
      <c r="O42" s="29">
        <v>0</v>
      </c>
      <c r="P42" s="33">
        <v>0</v>
      </c>
      <c r="Q42" s="38">
        <v>8.18</v>
      </c>
      <c r="R42" s="38">
        <v>8.18</v>
      </c>
      <c r="S42" s="14" t="e">
        <f t="shared" si="5"/>
        <v>#DIV/0!</v>
      </c>
      <c r="T42" s="14">
        <f t="shared" si="6"/>
        <v>8904.156479217605</v>
      </c>
      <c r="U42" s="43">
        <f t="shared" si="7"/>
        <v>0.20441130576716265</v>
      </c>
      <c r="V42" s="38">
        <v>0</v>
      </c>
      <c r="W42" s="5" t="s">
        <v>31</v>
      </c>
      <c r="X42" t="s">
        <v>60</v>
      </c>
      <c r="Z42" t="s">
        <v>61</v>
      </c>
      <c r="AA42">
        <v>0</v>
      </c>
      <c r="AB42">
        <v>0</v>
      </c>
      <c r="AC42" t="s">
        <v>32</v>
      </c>
      <c r="AE42" s="6" t="s">
        <v>33</v>
      </c>
    </row>
    <row r="43" spans="1:51" ht="15.75" thickTop="1" x14ac:dyDescent="0.25">
      <c r="A43" s="7"/>
      <c r="B43" s="7"/>
      <c r="C43" s="25" t="s">
        <v>91</v>
      </c>
      <c r="D43" s="25"/>
      <c r="E43" s="25"/>
      <c r="F43" s="15">
        <f>+SUM(F36:F42)</f>
        <v>1927999</v>
      </c>
      <c r="G43" s="7"/>
      <c r="H43" s="7"/>
      <c r="I43" s="15">
        <f>+SUM(I36:I42)</f>
        <v>2150231.5</v>
      </c>
      <c r="J43" s="15">
        <f>+SUM(J36:J42)</f>
        <v>1093500</v>
      </c>
      <c r="K43" s="20"/>
      <c r="L43" s="15">
        <f>+SUM(L36:L42)</f>
        <v>2186927</v>
      </c>
      <c r="M43" s="15">
        <f>+SUM(M36:M42)</f>
        <v>851940.5</v>
      </c>
      <c r="N43" s="15">
        <f>+SUM(N36:N42)</f>
        <v>888636</v>
      </c>
      <c r="O43" s="30">
        <f>+SUM(O36:O42)</f>
        <v>0</v>
      </c>
      <c r="P43" s="34"/>
      <c r="Q43" s="39">
        <f>+SUM(Q36:Q42)</f>
        <v>19.690000000000001</v>
      </c>
      <c r="R43" s="39">
        <f>+SUM(R36:R42)</f>
        <v>19.690000000000001</v>
      </c>
      <c r="S43" s="15"/>
      <c r="T43" s="15"/>
      <c r="U43" s="44"/>
      <c r="V43" s="39"/>
      <c r="W43" s="8"/>
      <c r="X43" s="7"/>
      <c r="Y43" s="7"/>
      <c r="Z43" s="7"/>
      <c r="AA43" s="7"/>
      <c r="AB43" s="7"/>
      <c r="AC43" s="7"/>
      <c r="AD43" s="7"/>
      <c r="AE43" s="7"/>
    </row>
    <row r="44" spans="1:51" x14ac:dyDescent="0.25">
      <c r="A44" s="9"/>
      <c r="B44" s="9"/>
      <c r="C44" s="26"/>
      <c r="D44" s="26"/>
      <c r="E44" s="26"/>
      <c r="F44" s="16"/>
      <c r="G44" s="9"/>
      <c r="H44" s="9"/>
      <c r="I44" s="16"/>
      <c r="J44" s="16" t="s">
        <v>92</v>
      </c>
      <c r="K44" s="21">
        <f>J43/I43*100</f>
        <v>50.854989334869295</v>
      </c>
      <c r="L44" s="16"/>
      <c r="M44" s="16"/>
      <c r="N44" s="16" t="s">
        <v>93</v>
      </c>
      <c r="O44" s="31"/>
      <c r="P44" s="35"/>
      <c r="Q44" s="40" t="s">
        <v>93</v>
      </c>
      <c r="R44" s="40"/>
      <c r="S44" s="16"/>
      <c r="T44" s="16" t="s">
        <v>93</v>
      </c>
      <c r="U44" s="45"/>
      <c r="V44" s="40"/>
      <c r="W44" s="10"/>
      <c r="X44" s="9"/>
      <c r="Y44" s="9"/>
      <c r="Z44" s="9"/>
      <c r="AA44" s="9"/>
      <c r="AB44" s="9"/>
      <c r="AC44" s="9"/>
      <c r="AD44" s="9"/>
      <c r="AE44" s="9"/>
    </row>
    <row r="45" spans="1:51" x14ac:dyDescent="0.25">
      <c r="A45" s="11"/>
      <c r="B45" s="11"/>
      <c r="C45" s="27"/>
      <c r="D45" s="27"/>
      <c r="E45" s="27"/>
      <c r="F45" s="17"/>
      <c r="G45" s="11"/>
      <c r="H45" s="11"/>
      <c r="I45" s="17"/>
      <c r="J45" s="17" t="s">
        <v>94</v>
      </c>
      <c r="K45" s="22">
        <f>STDEV(K36:K42)</f>
        <v>26.557975828019348</v>
      </c>
      <c r="L45" s="17"/>
      <c r="M45" s="17"/>
      <c r="N45" s="17" t="s">
        <v>95</v>
      </c>
      <c r="O45" s="47" t="e">
        <f>M43/O43</f>
        <v>#DIV/0!</v>
      </c>
      <c r="P45" s="36"/>
      <c r="Q45" s="41" t="s">
        <v>96</v>
      </c>
      <c r="R45" s="41">
        <f>M43/Q43</f>
        <v>43267.673946165567</v>
      </c>
      <c r="S45" s="17"/>
      <c r="T45" s="17" t="s">
        <v>97</v>
      </c>
      <c r="U45" s="46">
        <f>M43/Q43/43560</f>
        <v>0.99328911722143176</v>
      </c>
      <c r="V45" s="41"/>
      <c r="W45" s="12"/>
      <c r="X45" s="11"/>
      <c r="Y45" s="11"/>
      <c r="Z45" s="11"/>
      <c r="AA45" s="11"/>
      <c r="AB45" s="11"/>
      <c r="AC45" s="11"/>
      <c r="AD45" s="11"/>
      <c r="AE45" s="11"/>
    </row>
    <row r="47" spans="1:51" hidden="1" x14ac:dyDescent="0.25"/>
    <row r="48" spans="1:51" hidden="1" x14ac:dyDescent="0.25">
      <c r="A48" s="1" t="s">
        <v>0</v>
      </c>
      <c r="B48" s="1" t="s">
        <v>1</v>
      </c>
      <c r="C48" s="23" t="s">
        <v>2</v>
      </c>
      <c r="D48" s="23"/>
      <c r="E48" s="23"/>
      <c r="F48" s="13" t="s">
        <v>3</v>
      </c>
      <c r="G48" s="1" t="s">
        <v>4</v>
      </c>
      <c r="H48" s="1" t="s">
        <v>5</v>
      </c>
      <c r="I48" s="13" t="s">
        <v>6</v>
      </c>
      <c r="J48" s="13" t="s">
        <v>7</v>
      </c>
      <c r="K48" s="18" t="s">
        <v>8</v>
      </c>
      <c r="L48" s="13" t="s">
        <v>9</v>
      </c>
      <c r="M48" s="13" t="s">
        <v>10</v>
      </c>
      <c r="N48" s="13" t="s">
        <v>11</v>
      </c>
      <c r="O48" s="28" t="s">
        <v>12</v>
      </c>
      <c r="P48" s="32" t="s">
        <v>13</v>
      </c>
      <c r="Q48" s="37" t="s">
        <v>14</v>
      </c>
      <c r="R48" s="37" t="s">
        <v>15</v>
      </c>
      <c r="S48" s="13" t="s">
        <v>16</v>
      </c>
      <c r="T48" s="13" t="s">
        <v>17</v>
      </c>
      <c r="U48" s="42" t="s">
        <v>18</v>
      </c>
      <c r="V48" s="37" t="s">
        <v>19</v>
      </c>
      <c r="W48" s="3" t="s">
        <v>20</v>
      </c>
      <c r="X48" s="1" t="s">
        <v>21</v>
      </c>
      <c r="Y48" s="1" t="s">
        <v>22</v>
      </c>
      <c r="Z48" s="1" t="s">
        <v>23</v>
      </c>
      <c r="AA48" s="1" t="s">
        <v>24</v>
      </c>
      <c r="AB48" s="1" t="s">
        <v>25</v>
      </c>
      <c r="AC48" s="1" t="s">
        <v>26</v>
      </c>
      <c r="AD48" s="1" t="s">
        <v>27</v>
      </c>
      <c r="AE48" s="1" t="s">
        <v>28</v>
      </c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1:51" hidden="1" x14ac:dyDescent="0.25">
      <c r="A49" t="s">
        <v>118</v>
      </c>
      <c r="B49" t="s">
        <v>119</v>
      </c>
      <c r="C49" s="24">
        <v>43934</v>
      </c>
      <c r="D49" s="48">
        <v>4.4999999999999997E-3</v>
      </c>
      <c r="E49" s="24">
        <v>44652</v>
      </c>
      <c r="F49" s="14">
        <v>35000</v>
      </c>
      <c r="G49" t="s">
        <v>29</v>
      </c>
      <c r="H49" t="s">
        <v>30</v>
      </c>
      <c r="I49" s="14">
        <f>((DATEDIF(C49,E49, "m")*D49)+1)*F49</f>
        <v>38622.5</v>
      </c>
      <c r="J49" s="14">
        <v>43500</v>
      </c>
      <c r="K49" s="19">
        <f>J49/I49*100</f>
        <v>112.62864910350186</v>
      </c>
      <c r="L49" s="14">
        <v>86968</v>
      </c>
      <c r="M49" s="14">
        <f>I49-15718</f>
        <v>22904.5</v>
      </c>
      <c r="N49" s="14">
        <v>71250</v>
      </c>
      <c r="O49" s="29">
        <v>0</v>
      </c>
      <c r="P49" s="33">
        <v>0</v>
      </c>
      <c r="Q49" s="38">
        <v>0.56999999999999995</v>
      </c>
      <c r="R49" s="38">
        <v>0.56999999999999995</v>
      </c>
      <c r="S49" s="14" t="e">
        <f>M49/O49</f>
        <v>#DIV/0!</v>
      </c>
      <c r="T49" s="14">
        <f>M49/Q49</f>
        <v>40183.333333333336</v>
      </c>
      <c r="U49" s="43">
        <f>M49/Q49/43560</f>
        <v>0.92248239975512714</v>
      </c>
      <c r="V49" s="38">
        <v>0</v>
      </c>
      <c r="W49" s="5" t="s">
        <v>120</v>
      </c>
      <c r="X49" t="s">
        <v>121</v>
      </c>
      <c r="Z49" t="s">
        <v>38</v>
      </c>
      <c r="AA49">
        <v>0</v>
      </c>
      <c r="AB49">
        <v>0</v>
      </c>
      <c r="AC49" t="s">
        <v>32</v>
      </c>
      <c r="AE49" s="6" t="s">
        <v>36</v>
      </c>
    </row>
    <row r="50" spans="1:51" hidden="1" x14ac:dyDescent="0.25">
      <c r="A50" t="s">
        <v>122</v>
      </c>
      <c r="B50" t="s">
        <v>123</v>
      </c>
      <c r="C50" s="24">
        <v>44960</v>
      </c>
      <c r="F50" s="14">
        <v>288000</v>
      </c>
      <c r="G50" t="s">
        <v>29</v>
      </c>
      <c r="H50" t="s">
        <v>30</v>
      </c>
      <c r="I50" s="14">
        <v>288000</v>
      </c>
      <c r="J50" s="14">
        <v>123100</v>
      </c>
      <c r="K50" s="19">
        <f>J50/I50*100</f>
        <v>42.743055555555557</v>
      </c>
      <c r="L50" s="14">
        <v>246151</v>
      </c>
      <c r="M50" s="14">
        <f>I50-131151</f>
        <v>156849</v>
      </c>
      <c r="N50" s="14">
        <v>115000</v>
      </c>
      <c r="O50" s="29">
        <v>0</v>
      </c>
      <c r="P50" s="33">
        <v>0</v>
      </c>
      <c r="Q50" s="38">
        <v>0.92</v>
      </c>
      <c r="R50" s="38">
        <v>0.92</v>
      </c>
      <c r="S50" s="14" t="e">
        <f>M50/O50</f>
        <v>#DIV/0!</v>
      </c>
      <c r="T50" s="14">
        <f>M50/Q50</f>
        <v>170488.04347826086</v>
      </c>
      <c r="U50" s="43">
        <f>M50/Q50/43560</f>
        <v>3.9138669301712778</v>
      </c>
      <c r="V50" s="38">
        <v>0</v>
      </c>
      <c r="W50" s="5" t="s">
        <v>34</v>
      </c>
      <c r="X50" t="s">
        <v>124</v>
      </c>
      <c r="Z50" t="s">
        <v>38</v>
      </c>
      <c r="AA50">
        <v>0</v>
      </c>
      <c r="AB50">
        <v>0</v>
      </c>
      <c r="AC50" t="s">
        <v>32</v>
      </c>
      <c r="AE50" s="6" t="s">
        <v>36</v>
      </c>
    </row>
    <row r="51" spans="1:51" ht="15.75" hidden="1" thickBot="1" x14ac:dyDescent="0.3">
      <c r="A51" t="s">
        <v>51</v>
      </c>
      <c r="B51" t="s">
        <v>52</v>
      </c>
      <c r="C51" s="24">
        <v>43179</v>
      </c>
      <c r="D51" s="48">
        <v>4.4999999999999997E-3</v>
      </c>
      <c r="E51" s="24">
        <v>44652</v>
      </c>
      <c r="F51" s="14">
        <v>325000</v>
      </c>
      <c r="G51" t="s">
        <v>42</v>
      </c>
      <c r="H51" t="s">
        <v>53</v>
      </c>
      <c r="I51" s="14">
        <f>((DATEDIF(C51,E51, "m")*D51)+1)*F51</f>
        <v>395200</v>
      </c>
      <c r="J51" s="14">
        <v>121200</v>
      </c>
      <c r="K51" s="19">
        <f>J51/I51*100</f>
        <v>30.668016194331983</v>
      </c>
      <c r="L51" s="14">
        <v>242410</v>
      </c>
      <c r="M51" s="14">
        <f>I51-117410</f>
        <v>277790</v>
      </c>
      <c r="N51" s="14">
        <v>125000</v>
      </c>
      <c r="O51" s="29">
        <v>0</v>
      </c>
      <c r="P51" s="33">
        <v>0</v>
      </c>
      <c r="Q51" s="38">
        <v>1</v>
      </c>
      <c r="R51" s="38">
        <v>1</v>
      </c>
      <c r="S51" s="14" t="e">
        <f>M51/O51</f>
        <v>#DIV/0!</v>
      </c>
      <c r="T51" s="14">
        <f>M51/Q51</f>
        <v>277790</v>
      </c>
      <c r="U51" s="43">
        <f>M51/Q51/43560</f>
        <v>6.3771808999081729</v>
      </c>
      <c r="V51" s="38">
        <v>0</v>
      </c>
      <c r="W51" s="5" t="s">
        <v>34</v>
      </c>
      <c r="X51" t="s">
        <v>54</v>
      </c>
      <c r="Z51" t="s">
        <v>38</v>
      </c>
      <c r="AA51">
        <v>0</v>
      </c>
      <c r="AB51">
        <v>0</v>
      </c>
      <c r="AC51" t="s">
        <v>32</v>
      </c>
      <c r="AE51" s="6" t="s">
        <v>36</v>
      </c>
    </row>
    <row r="52" spans="1:51" ht="15.75" hidden="1" thickTop="1" x14ac:dyDescent="0.25">
      <c r="A52" s="7"/>
      <c r="B52" s="7"/>
      <c r="C52" s="25" t="s">
        <v>91</v>
      </c>
      <c r="D52" s="25"/>
      <c r="E52" s="25"/>
      <c r="F52" s="15">
        <f>+SUM(F49:F51)</f>
        <v>648000</v>
      </c>
      <c r="G52" s="7"/>
      <c r="H52" s="7"/>
      <c r="I52" s="15">
        <f>+SUM(I49:I51)</f>
        <v>721822.5</v>
      </c>
      <c r="J52" s="15">
        <f>+SUM(J49:J51)</f>
        <v>287800</v>
      </c>
      <c r="K52" s="20"/>
      <c r="L52" s="15">
        <f>+SUM(L49:L51)</f>
        <v>575529</v>
      </c>
      <c r="M52" s="15">
        <f>+SUM(M49:M51)</f>
        <v>457543.5</v>
      </c>
      <c r="N52" s="15">
        <f>+SUM(N49:N51)</f>
        <v>311250</v>
      </c>
      <c r="O52" s="30">
        <f>+SUM(O49:O51)</f>
        <v>0</v>
      </c>
      <c r="P52" s="34"/>
      <c r="Q52" s="39">
        <f>+SUM(Q49:Q51)</f>
        <v>2.4900000000000002</v>
      </c>
      <c r="R52" s="39">
        <f>+SUM(R49:R51)</f>
        <v>2.4900000000000002</v>
      </c>
      <c r="S52" s="15"/>
      <c r="T52" s="15"/>
      <c r="U52" s="44"/>
      <c r="V52" s="39"/>
      <c r="W52" s="8"/>
      <c r="X52" s="7"/>
      <c r="Y52" s="7"/>
      <c r="Z52" s="7"/>
      <c r="AA52" s="7"/>
      <c r="AB52" s="7"/>
      <c r="AC52" s="7"/>
      <c r="AD52" s="7"/>
      <c r="AE52" s="7"/>
    </row>
    <row r="53" spans="1:51" hidden="1" x14ac:dyDescent="0.25">
      <c r="A53" s="9"/>
      <c r="B53" s="9"/>
      <c r="C53" s="26"/>
      <c r="D53" s="26"/>
      <c r="E53" s="26"/>
      <c r="F53" s="16"/>
      <c r="G53" s="9"/>
      <c r="H53" s="9"/>
      <c r="I53" s="16"/>
      <c r="J53" s="16" t="s">
        <v>92</v>
      </c>
      <c r="K53" s="21">
        <f>J52/I52*100</f>
        <v>39.87129799916184</v>
      </c>
      <c r="L53" s="16"/>
      <c r="M53" s="16"/>
      <c r="N53" s="16" t="s">
        <v>93</v>
      </c>
      <c r="O53" s="31"/>
      <c r="P53" s="35"/>
      <c r="Q53" s="40" t="s">
        <v>93</v>
      </c>
      <c r="R53" s="40"/>
      <c r="S53" s="16"/>
      <c r="T53" s="16" t="s">
        <v>93</v>
      </c>
      <c r="U53" s="45"/>
      <c r="V53" s="40"/>
      <c r="W53" s="10"/>
      <c r="X53" s="9"/>
      <c r="Y53" s="9"/>
      <c r="Z53" s="9"/>
      <c r="AA53" s="9"/>
      <c r="AB53" s="9"/>
      <c r="AC53" s="9"/>
      <c r="AD53" s="9"/>
      <c r="AE53" s="9"/>
    </row>
    <row r="54" spans="1:51" hidden="1" x14ac:dyDescent="0.25">
      <c r="A54" s="11"/>
      <c r="B54" s="11"/>
      <c r="C54" s="27"/>
      <c r="D54" s="27"/>
      <c r="E54" s="27"/>
      <c r="F54" s="17"/>
      <c r="G54" s="11"/>
      <c r="H54" s="11"/>
      <c r="I54" s="17"/>
      <c r="J54" s="17" t="s">
        <v>94</v>
      </c>
      <c r="K54" s="22">
        <f>STDEV(K49:K51)</f>
        <v>44.248066074491796</v>
      </c>
      <c r="L54" s="17"/>
      <c r="M54" s="17"/>
      <c r="N54" s="17" t="s">
        <v>95</v>
      </c>
      <c r="O54" s="47" t="e">
        <f>M52/O52</f>
        <v>#DIV/0!</v>
      </c>
      <c r="P54" s="36"/>
      <c r="Q54" s="41" t="s">
        <v>96</v>
      </c>
      <c r="R54" s="41">
        <f>M52/Q52</f>
        <v>183752.40963855421</v>
      </c>
      <c r="S54" s="17"/>
      <c r="T54" s="17" t="s">
        <v>97</v>
      </c>
      <c r="U54" s="46">
        <f>M52/Q52/43560</f>
        <v>4.2183748769181406</v>
      </c>
      <c r="V54" s="41"/>
      <c r="W54" s="12"/>
      <c r="X54" s="11"/>
      <c r="Y54" s="11"/>
      <c r="Z54" s="11"/>
      <c r="AA54" s="11"/>
      <c r="AB54" s="11"/>
      <c r="AC54" s="11"/>
      <c r="AD54" s="11"/>
      <c r="AE54" s="11"/>
    </row>
    <row r="55" spans="1:51" hidden="1" x14ac:dyDescent="0.25"/>
    <row r="56" spans="1:51" hidden="1" x14ac:dyDescent="0.25"/>
    <row r="57" spans="1:51" hidden="1" x14ac:dyDescent="0.25">
      <c r="A57" s="1" t="s">
        <v>0</v>
      </c>
      <c r="B57" s="1" t="s">
        <v>1</v>
      </c>
      <c r="C57" s="23" t="s">
        <v>2</v>
      </c>
      <c r="D57" s="23"/>
      <c r="E57" s="23"/>
      <c r="F57" s="13" t="s">
        <v>3</v>
      </c>
      <c r="G57" s="1" t="s">
        <v>4</v>
      </c>
      <c r="H57" s="1" t="s">
        <v>5</v>
      </c>
      <c r="I57" s="13" t="s">
        <v>6</v>
      </c>
      <c r="J57" s="13" t="s">
        <v>7</v>
      </c>
      <c r="K57" s="18" t="s">
        <v>8</v>
      </c>
      <c r="L57" s="13" t="s">
        <v>9</v>
      </c>
      <c r="M57" s="13" t="s">
        <v>10</v>
      </c>
      <c r="N57" s="13" t="s">
        <v>11</v>
      </c>
      <c r="O57" s="28" t="s">
        <v>12</v>
      </c>
      <c r="P57" s="32" t="s">
        <v>13</v>
      </c>
      <c r="Q57" s="37" t="s">
        <v>14</v>
      </c>
      <c r="R57" s="37" t="s">
        <v>15</v>
      </c>
      <c r="S57" s="13" t="s">
        <v>16</v>
      </c>
      <c r="T57" s="13" t="s">
        <v>17</v>
      </c>
      <c r="U57" s="42" t="s">
        <v>18</v>
      </c>
      <c r="V57" s="37" t="s">
        <v>19</v>
      </c>
      <c r="W57" s="3" t="s">
        <v>20</v>
      </c>
      <c r="X57" s="1" t="s">
        <v>21</v>
      </c>
      <c r="Y57" s="1" t="s">
        <v>22</v>
      </c>
      <c r="Z57" s="1" t="s">
        <v>23</v>
      </c>
      <c r="AA57" s="1" t="s">
        <v>24</v>
      </c>
      <c r="AB57" s="1" t="s">
        <v>25</v>
      </c>
      <c r="AC57" s="1" t="s">
        <v>26</v>
      </c>
      <c r="AD57" s="1" t="s">
        <v>27</v>
      </c>
      <c r="AE57" s="1" t="s">
        <v>28</v>
      </c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</row>
    <row r="58" spans="1:51" hidden="1" x14ac:dyDescent="0.25">
      <c r="A58" t="s">
        <v>55</v>
      </c>
      <c r="B58" t="s">
        <v>56</v>
      </c>
      <c r="C58" s="24">
        <v>44432</v>
      </c>
      <c r="F58" s="14">
        <v>285000</v>
      </c>
      <c r="G58" t="s">
        <v>29</v>
      </c>
      <c r="H58" t="s">
        <v>30</v>
      </c>
      <c r="I58" s="14">
        <v>285000</v>
      </c>
      <c r="J58" s="14">
        <v>170900</v>
      </c>
      <c r="K58" s="19">
        <f>J58/I58*100</f>
        <v>59.964912280701753</v>
      </c>
      <c r="L58" s="14">
        <v>341789</v>
      </c>
      <c r="M58" s="14">
        <f>I58-213599</f>
        <v>71401</v>
      </c>
      <c r="N58" s="14">
        <v>128190</v>
      </c>
      <c r="O58" s="29">
        <v>0</v>
      </c>
      <c r="P58" s="33">
        <v>0</v>
      </c>
      <c r="Q58" s="38">
        <v>1.1100000000000001</v>
      </c>
      <c r="R58" s="38">
        <v>1.1100000000000001</v>
      </c>
      <c r="S58" s="14" t="e">
        <f>M58/O58</f>
        <v>#DIV/0!</v>
      </c>
      <c r="T58" s="14">
        <f>M58/Q58</f>
        <v>64325.225225225222</v>
      </c>
      <c r="U58" s="43">
        <f>M58/Q58/43560</f>
        <v>1.4767039767039767</v>
      </c>
      <c r="V58" s="38">
        <v>0</v>
      </c>
      <c r="W58" s="5" t="s">
        <v>34</v>
      </c>
      <c r="X58" t="s">
        <v>57</v>
      </c>
      <c r="Z58" t="s">
        <v>38</v>
      </c>
      <c r="AA58">
        <v>0</v>
      </c>
      <c r="AB58">
        <v>0</v>
      </c>
      <c r="AC58" t="s">
        <v>32</v>
      </c>
      <c r="AE58" s="6" t="s">
        <v>36</v>
      </c>
    </row>
    <row r="59" spans="1:51" ht="15.75" hidden="1" thickBot="1" x14ac:dyDescent="0.3">
      <c r="A59" t="s">
        <v>44</v>
      </c>
      <c r="B59" t="s">
        <v>45</v>
      </c>
      <c r="C59" s="24">
        <v>44602</v>
      </c>
      <c r="F59" s="14">
        <v>199999</v>
      </c>
      <c r="G59" t="s">
        <v>29</v>
      </c>
      <c r="H59" t="s">
        <v>30</v>
      </c>
      <c r="I59" s="14">
        <v>199999</v>
      </c>
      <c r="J59" s="14">
        <v>84100</v>
      </c>
      <c r="K59" s="19">
        <f>J59/I59*100</f>
        <v>42.050210251051254</v>
      </c>
      <c r="L59" s="14">
        <v>168122</v>
      </c>
      <c r="M59" s="14">
        <f>I59-34422</f>
        <v>165577</v>
      </c>
      <c r="N59" s="14">
        <v>133700</v>
      </c>
      <c r="O59" s="29">
        <v>0</v>
      </c>
      <c r="P59" s="33">
        <v>0</v>
      </c>
      <c r="Q59" s="38">
        <v>1.3</v>
      </c>
      <c r="R59" s="38">
        <v>1.3</v>
      </c>
      <c r="S59" s="14" t="e">
        <f>M59/O59</f>
        <v>#DIV/0!</v>
      </c>
      <c r="T59" s="14">
        <f>M59/Q59</f>
        <v>127366.92307692308</v>
      </c>
      <c r="U59" s="43">
        <f>M59/Q59/43560</f>
        <v>2.923942219396765</v>
      </c>
      <c r="V59" s="38">
        <v>0</v>
      </c>
      <c r="W59" s="5" t="s">
        <v>34</v>
      </c>
      <c r="X59" t="s">
        <v>46</v>
      </c>
      <c r="Z59" t="s">
        <v>38</v>
      </c>
      <c r="AA59">
        <v>0</v>
      </c>
      <c r="AB59">
        <v>0</v>
      </c>
      <c r="AC59" t="s">
        <v>32</v>
      </c>
      <c r="AE59" s="6" t="s">
        <v>36</v>
      </c>
    </row>
    <row r="60" spans="1:51" ht="15.75" hidden="1" thickTop="1" x14ac:dyDescent="0.25">
      <c r="A60" s="7"/>
      <c r="B60" s="7"/>
      <c r="C60" s="25" t="s">
        <v>91</v>
      </c>
      <c r="D60" s="25"/>
      <c r="E60" s="25"/>
      <c r="F60" s="15">
        <f>+SUM(F58:F59)</f>
        <v>484999</v>
      </c>
      <c r="G60" s="7"/>
      <c r="H60" s="7"/>
      <c r="I60" s="15">
        <f>+SUM(I58:I59)</f>
        <v>484999</v>
      </c>
      <c r="J60" s="15">
        <f>+SUM(J58:J59)</f>
        <v>255000</v>
      </c>
      <c r="K60" s="20"/>
      <c r="L60" s="15">
        <f>+SUM(L58:L59)</f>
        <v>509911</v>
      </c>
      <c r="M60" s="15">
        <f>+SUM(M58:M59)</f>
        <v>236978</v>
      </c>
      <c r="N60" s="15">
        <f>+SUM(N58:N59)</f>
        <v>261890</v>
      </c>
      <c r="O60" s="30">
        <f>+SUM(O58:O59)</f>
        <v>0</v>
      </c>
      <c r="P60" s="34"/>
      <c r="Q60" s="39">
        <f>+SUM(Q58:Q59)</f>
        <v>2.41</v>
      </c>
      <c r="R60" s="39">
        <f>+SUM(R58:R59)</f>
        <v>2.41</v>
      </c>
      <c r="S60" s="15"/>
      <c r="T60" s="15"/>
      <c r="U60" s="44"/>
      <c r="V60" s="39"/>
      <c r="W60" s="8"/>
      <c r="X60" s="7"/>
      <c r="Y60" s="7"/>
      <c r="Z60" s="7"/>
      <c r="AA60" s="7"/>
      <c r="AB60" s="7"/>
      <c r="AC60" s="7"/>
      <c r="AD60" s="7"/>
      <c r="AE60" s="7"/>
    </row>
    <row r="61" spans="1:51" hidden="1" x14ac:dyDescent="0.25">
      <c r="A61" s="9"/>
      <c r="B61" s="9"/>
      <c r="C61" s="26"/>
      <c r="D61" s="26"/>
      <c r="E61" s="26"/>
      <c r="F61" s="16"/>
      <c r="G61" s="9"/>
      <c r="H61" s="9"/>
      <c r="I61" s="16"/>
      <c r="J61" s="16" t="s">
        <v>92</v>
      </c>
      <c r="K61" s="21">
        <f>J60/I60*100</f>
        <v>52.577427994696905</v>
      </c>
      <c r="L61" s="16"/>
      <c r="M61" s="16"/>
      <c r="N61" s="16" t="s">
        <v>93</v>
      </c>
      <c r="O61" s="31"/>
      <c r="P61" s="35"/>
      <c r="Q61" s="40" t="s">
        <v>93</v>
      </c>
      <c r="R61" s="40"/>
      <c r="S61" s="16"/>
      <c r="T61" s="16" t="s">
        <v>93</v>
      </c>
      <c r="U61" s="45"/>
      <c r="V61" s="40"/>
      <c r="W61" s="10"/>
      <c r="X61" s="9"/>
      <c r="Y61" s="9"/>
      <c r="Z61" s="9"/>
      <c r="AA61" s="9"/>
      <c r="AB61" s="9"/>
      <c r="AC61" s="9"/>
      <c r="AD61" s="9"/>
      <c r="AE61" s="9"/>
    </row>
    <row r="62" spans="1:51" hidden="1" x14ac:dyDescent="0.25">
      <c r="A62" s="11"/>
      <c r="B62" s="11"/>
      <c r="C62" s="27"/>
      <c r="D62" s="27"/>
      <c r="E62" s="27"/>
      <c r="F62" s="17"/>
      <c r="G62" s="11"/>
      <c r="H62" s="11"/>
      <c r="I62" s="17"/>
      <c r="J62" s="17" t="s">
        <v>94</v>
      </c>
      <c r="K62" s="22">
        <f>STDEV(K58:K59)</f>
        <v>12.667607288102269</v>
      </c>
      <c r="L62" s="17"/>
      <c r="M62" s="17"/>
      <c r="N62" s="17" t="s">
        <v>95</v>
      </c>
      <c r="O62" s="47" t="e">
        <f>M60/O60</f>
        <v>#DIV/0!</v>
      </c>
      <c r="P62" s="36"/>
      <c r="Q62" s="41" t="s">
        <v>96</v>
      </c>
      <c r="R62" s="41">
        <f>M60/Q60</f>
        <v>98331.120331950195</v>
      </c>
      <c r="S62" s="17"/>
      <c r="T62" s="17" t="s">
        <v>97</v>
      </c>
      <c r="U62" s="46">
        <f>M60/Q60/43560</f>
        <v>2.2573719084469741</v>
      </c>
      <c r="V62" s="41"/>
      <c r="W62" s="12"/>
      <c r="X62" s="11"/>
      <c r="Y62" s="11"/>
      <c r="Z62" s="11"/>
      <c r="AA62" s="11"/>
      <c r="AB62" s="11"/>
      <c r="AC62" s="11"/>
      <c r="AD62" s="11"/>
      <c r="AE62" s="11"/>
    </row>
    <row r="63" spans="1:51" hidden="1" x14ac:dyDescent="0.25"/>
    <row r="64" spans="1:51" hidden="1" x14ac:dyDescent="0.25"/>
    <row r="65" spans="1:51" hidden="1" x14ac:dyDescent="0.25">
      <c r="A65" s="1" t="s">
        <v>0</v>
      </c>
      <c r="B65" s="1" t="s">
        <v>1</v>
      </c>
      <c r="C65" s="23" t="s">
        <v>2</v>
      </c>
      <c r="D65" s="23"/>
      <c r="E65" s="23"/>
      <c r="F65" s="13" t="s">
        <v>3</v>
      </c>
      <c r="G65" s="1" t="s">
        <v>4</v>
      </c>
      <c r="H65" s="1" t="s">
        <v>5</v>
      </c>
      <c r="I65" s="13" t="s">
        <v>6</v>
      </c>
      <c r="J65" s="13" t="s">
        <v>7</v>
      </c>
      <c r="K65" s="18" t="s">
        <v>8</v>
      </c>
      <c r="L65" s="13" t="s">
        <v>9</v>
      </c>
      <c r="M65" s="13" t="s">
        <v>10</v>
      </c>
      <c r="N65" s="13" t="s">
        <v>11</v>
      </c>
      <c r="O65" s="28" t="s">
        <v>12</v>
      </c>
      <c r="P65" s="32" t="s">
        <v>13</v>
      </c>
      <c r="Q65" s="37" t="s">
        <v>14</v>
      </c>
      <c r="R65" s="37" t="s">
        <v>15</v>
      </c>
      <c r="S65" s="13" t="s">
        <v>16</v>
      </c>
      <c r="T65" s="13" t="s">
        <v>17</v>
      </c>
      <c r="U65" s="42" t="s">
        <v>18</v>
      </c>
      <c r="V65" s="37" t="s">
        <v>19</v>
      </c>
      <c r="W65" s="3" t="s">
        <v>20</v>
      </c>
      <c r="X65" s="1" t="s">
        <v>21</v>
      </c>
      <c r="Y65" s="1" t="s">
        <v>22</v>
      </c>
      <c r="Z65" s="1" t="s">
        <v>23</v>
      </c>
      <c r="AA65" s="1" t="s">
        <v>24</v>
      </c>
      <c r="AB65" s="1" t="s">
        <v>25</v>
      </c>
      <c r="AC65" s="1" t="s">
        <v>26</v>
      </c>
      <c r="AD65" s="1" t="s">
        <v>27</v>
      </c>
      <c r="AE65" s="1" t="s">
        <v>28</v>
      </c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</row>
    <row r="66" spans="1:51" ht="15.75" hidden="1" thickBot="1" x14ac:dyDescent="0.3">
      <c r="A66" t="s">
        <v>40</v>
      </c>
      <c r="B66" t="s">
        <v>41</v>
      </c>
      <c r="C66" s="24">
        <v>42787</v>
      </c>
      <c r="D66" s="48">
        <v>4.4999999999999997E-3</v>
      </c>
      <c r="E66" s="24">
        <v>44652</v>
      </c>
      <c r="F66" s="14">
        <v>260000</v>
      </c>
      <c r="G66" t="s">
        <v>42</v>
      </c>
      <c r="H66" t="s">
        <v>30</v>
      </c>
      <c r="I66" s="14">
        <f>((DATEDIF(C66,E66, "m")*D66)+1)*F66</f>
        <v>331370</v>
      </c>
      <c r="J66" s="14">
        <v>201900</v>
      </c>
      <c r="K66" s="19">
        <f>J66/I66*100</f>
        <v>60.928871050487366</v>
      </c>
      <c r="L66" s="14">
        <v>403800</v>
      </c>
      <c r="M66" s="14">
        <f>I66-246787</f>
        <v>84583</v>
      </c>
      <c r="N66" s="14">
        <v>157013</v>
      </c>
      <c r="O66" s="29">
        <v>0</v>
      </c>
      <c r="P66" s="33">
        <v>0</v>
      </c>
      <c r="Q66" s="38">
        <v>6.61</v>
      </c>
      <c r="R66" s="38">
        <v>6.61</v>
      </c>
      <c r="S66" s="14" t="e">
        <f>M66/O66</f>
        <v>#DIV/0!</v>
      </c>
      <c r="T66" s="14">
        <f>M66/Q66</f>
        <v>12796.217851739788</v>
      </c>
      <c r="U66" s="43">
        <f>M66/Q66/43560</f>
        <v>0.29376074039806677</v>
      </c>
      <c r="V66" s="38">
        <v>0</v>
      </c>
      <c r="W66" s="5" t="s">
        <v>34</v>
      </c>
      <c r="X66" t="s">
        <v>43</v>
      </c>
      <c r="Z66" t="s">
        <v>38</v>
      </c>
      <c r="AA66">
        <v>0</v>
      </c>
      <c r="AB66">
        <v>1</v>
      </c>
      <c r="AC66" t="s">
        <v>32</v>
      </c>
      <c r="AE66" s="6" t="s">
        <v>36</v>
      </c>
    </row>
    <row r="67" spans="1:51" ht="15.75" hidden="1" thickTop="1" x14ac:dyDescent="0.25">
      <c r="A67" s="7"/>
      <c r="B67" s="7"/>
      <c r="C67" s="25" t="s">
        <v>91</v>
      </c>
      <c r="D67" s="25"/>
      <c r="E67" s="25"/>
      <c r="F67" s="15">
        <f>+SUM(F66:F66)</f>
        <v>260000</v>
      </c>
      <c r="G67" s="7"/>
      <c r="H67" s="7"/>
      <c r="I67" s="15">
        <f>+SUM(I66:I66)</f>
        <v>331370</v>
      </c>
      <c r="J67" s="15">
        <f>+SUM(J66:J66)</f>
        <v>201900</v>
      </c>
      <c r="K67" s="20"/>
      <c r="L67" s="15">
        <f>+SUM(L66:L66)</f>
        <v>403800</v>
      </c>
      <c r="M67" s="15">
        <f>+SUM(M66:M66)</f>
        <v>84583</v>
      </c>
      <c r="N67" s="15">
        <f>+SUM(N66:N66)</f>
        <v>157013</v>
      </c>
      <c r="O67" s="30">
        <f>+SUM(O66:O66)</f>
        <v>0</v>
      </c>
      <c r="P67" s="34"/>
      <c r="Q67" s="39">
        <f>+SUM(Q66:Q66)</f>
        <v>6.61</v>
      </c>
      <c r="R67" s="39">
        <f>+SUM(R66:R66)</f>
        <v>6.61</v>
      </c>
      <c r="S67" s="15"/>
      <c r="T67" s="15"/>
      <c r="U67" s="44"/>
      <c r="V67" s="39"/>
      <c r="W67" s="8"/>
      <c r="X67" s="7"/>
      <c r="Y67" s="7"/>
      <c r="Z67" s="7"/>
      <c r="AA67" s="7"/>
      <c r="AB67" s="7"/>
      <c r="AC67" s="7"/>
      <c r="AD67" s="7"/>
      <c r="AE67" s="7"/>
    </row>
    <row r="68" spans="1:51" hidden="1" x14ac:dyDescent="0.25">
      <c r="A68" s="9"/>
      <c r="B68" s="9"/>
      <c r="C68" s="26"/>
      <c r="D68" s="26"/>
      <c r="E68" s="26"/>
      <c r="F68" s="16"/>
      <c r="G68" s="9"/>
      <c r="H68" s="9"/>
      <c r="I68" s="16"/>
      <c r="J68" s="16" t="s">
        <v>92</v>
      </c>
      <c r="K68" s="21">
        <f>J67/I67*100</f>
        <v>60.928871050487366</v>
      </c>
      <c r="L68" s="16"/>
      <c r="M68" s="16"/>
      <c r="N68" s="16" t="s">
        <v>93</v>
      </c>
      <c r="O68" s="31"/>
      <c r="P68" s="35"/>
      <c r="Q68" s="40" t="s">
        <v>93</v>
      </c>
      <c r="R68" s="40"/>
      <c r="S68" s="16"/>
      <c r="T68" s="16" t="s">
        <v>93</v>
      </c>
      <c r="U68" s="45"/>
      <c r="V68" s="40"/>
      <c r="W68" s="10"/>
      <c r="X68" s="9"/>
      <c r="Y68" s="9"/>
      <c r="Z68" s="9"/>
      <c r="AA68" s="9"/>
      <c r="AB68" s="9"/>
      <c r="AC68" s="9"/>
      <c r="AD68" s="9"/>
      <c r="AE68" s="9"/>
    </row>
    <row r="69" spans="1:51" hidden="1" x14ac:dyDescent="0.25">
      <c r="A69" s="11"/>
      <c r="B69" s="11"/>
      <c r="C69" s="27"/>
      <c r="D69" s="27"/>
      <c r="E69" s="27"/>
      <c r="F69" s="17"/>
      <c r="G69" s="11"/>
      <c r="H69" s="11"/>
      <c r="I69" s="17"/>
      <c r="J69" s="17" t="s">
        <v>94</v>
      </c>
      <c r="K69" s="22" t="e">
        <f>STDEV(K66:K66)</f>
        <v>#DIV/0!</v>
      </c>
      <c r="L69" s="17"/>
      <c r="M69" s="17"/>
      <c r="N69" s="17" t="s">
        <v>95</v>
      </c>
      <c r="O69" s="47" t="e">
        <f>M67/O67</f>
        <v>#DIV/0!</v>
      </c>
      <c r="P69" s="36"/>
      <c r="Q69" s="41" t="s">
        <v>96</v>
      </c>
      <c r="R69" s="41">
        <f>M67/Q67</f>
        <v>12796.217851739788</v>
      </c>
      <c r="S69" s="17"/>
      <c r="T69" s="17" t="s">
        <v>97</v>
      </c>
      <c r="U69" s="46">
        <f>M67/Q67/43560</f>
        <v>0.29376074039806677</v>
      </c>
      <c r="V69" s="41"/>
      <c r="W69" s="12"/>
      <c r="X69" s="11"/>
      <c r="Y69" s="11"/>
      <c r="Z69" s="11"/>
      <c r="AA69" s="11"/>
      <c r="AB69" s="11"/>
      <c r="AC69" s="11"/>
      <c r="AD69" s="11"/>
      <c r="AE69" s="11"/>
    </row>
    <row r="70" spans="1:51" hidden="1" x14ac:dyDescent="0.25"/>
    <row r="71" spans="1:51" hidden="1" x14ac:dyDescent="0.25"/>
    <row r="72" spans="1:51" hidden="1" x14ac:dyDescent="0.25">
      <c r="A72" s="1" t="s">
        <v>0</v>
      </c>
      <c r="B72" s="1" t="s">
        <v>1</v>
      </c>
      <c r="C72" s="23" t="s">
        <v>2</v>
      </c>
      <c r="D72" s="23"/>
      <c r="E72" s="23"/>
      <c r="F72" s="13" t="s">
        <v>3</v>
      </c>
      <c r="G72" s="1" t="s">
        <v>4</v>
      </c>
      <c r="H72" s="1" t="s">
        <v>5</v>
      </c>
      <c r="I72" s="13" t="s">
        <v>6</v>
      </c>
      <c r="J72" s="13" t="s">
        <v>7</v>
      </c>
      <c r="K72" s="18" t="s">
        <v>8</v>
      </c>
      <c r="L72" s="13" t="s">
        <v>9</v>
      </c>
      <c r="M72" s="13" t="s">
        <v>10</v>
      </c>
      <c r="N72" s="13" t="s">
        <v>11</v>
      </c>
      <c r="O72" s="28" t="s">
        <v>12</v>
      </c>
      <c r="P72" s="32" t="s">
        <v>13</v>
      </c>
      <c r="Q72" s="37" t="s">
        <v>14</v>
      </c>
      <c r="R72" s="37" t="s">
        <v>15</v>
      </c>
      <c r="S72" s="13" t="s">
        <v>16</v>
      </c>
      <c r="T72" s="13" t="s">
        <v>17</v>
      </c>
      <c r="U72" s="42" t="s">
        <v>18</v>
      </c>
      <c r="V72" s="37" t="s">
        <v>19</v>
      </c>
      <c r="W72" s="3" t="s">
        <v>20</v>
      </c>
      <c r="X72" s="1" t="s">
        <v>21</v>
      </c>
      <c r="Y72" s="1" t="s">
        <v>22</v>
      </c>
      <c r="Z72" s="1" t="s">
        <v>23</v>
      </c>
      <c r="AA72" s="1" t="s">
        <v>24</v>
      </c>
      <c r="AB72" s="1" t="s">
        <v>25</v>
      </c>
      <c r="AC72" s="1" t="s">
        <v>26</v>
      </c>
      <c r="AD72" s="1" t="s">
        <v>27</v>
      </c>
      <c r="AE72" s="1" t="s">
        <v>28</v>
      </c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 ht="15.75" hidden="1" thickBot="1" x14ac:dyDescent="0.3">
      <c r="A73" t="s">
        <v>58</v>
      </c>
      <c r="B73" t="s">
        <v>59</v>
      </c>
      <c r="C73" s="24">
        <v>43676</v>
      </c>
      <c r="D73" s="48">
        <v>4.4999999999999997E-3</v>
      </c>
      <c r="E73" s="24">
        <v>44652</v>
      </c>
      <c r="F73" s="14">
        <v>535000</v>
      </c>
      <c r="G73" t="s">
        <v>29</v>
      </c>
      <c r="H73" t="s">
        <v>30</v>
      </c>
      <c r="I73" s="14">
        <f>((DATEDIF(C73,E73, "m")*D73)+1)*F73</f>
        <v>612040</v>
      </c>
      <c r="J73" s="14">
        <v>348800</v>
      </c>
      <c r="K73" s="19">
        <f>J73/I73*100</f>
        <v>56.989739232729889</v>
      </c>
      <c r="L73" s="14">
        <v>697687</v>
      </c>
      <c r="M73" s="14">
        <f>I73-539204</f>
        <v>72836</v>
      </c>
      <c r="N73" s="14">
        <v>158483</v>
      </c>
      <c r="O73" s="29">
        <v>0</v>
      </c>
      <c r="P73" s="33">
        <v>0</v>
      </c>
      <c r="Q73" s="38">
        <v>8.18</v>
      </c>
      <c r="R73" s="38">
        <v>8.18</v>
      </c>
      <c r="S73" s="14" t="e">
        <f>M73/O73</f>
        <v>#DIV/0!</v>
      </c>
      <c r="T73" s="14">
        <f>M73/Q73</f>
        <v>8904.156479217605</v>
      </c>
      <c r="U73" s="43">
        <f>M73/Q73/43560</f>
        <v>0.20441130576716265</v>
      </c>
      <c r="V73" s="38">
        <v>0</v>
      </c>
      <c r="W73" s="5" t="s">
        <v>31</v>
      </c>
      <c r="X73" t="s">
        <v>60</v>
      </c>
      <c r="Z73" t="s">
        <v>61</v>
      </c>
      <c r="AA73">
        <v>0</v>
      </c>
      <c r="AB73">
        <v>0</v>
      </c>
      <c r="AC73" t="s">
        <v>32</v>
      </c>
      <c r="AE73" s="6" t="s">
        <v>33</v>
      </c>
    </row>
    <row r="74" spans="1:51" ht="15.75" hidden="1" thickTop="1" x14ac:dyDescent="0.25">
      <c r="A74" s="7"/>
      <c r="B74" s="7"/>
      <c r="C74" s="25" t="s">
        <v>91</v>
      </c>
      <c r="D74" s="25"/>
      <c r="E74" s="25"/>
      <c r="F74" s="15">
        <f>+SUM(F73:F73)</f>
        <v>535000</v>
      </c>
      <c r="G74" s="7"/>
      <c r="H74" s="7"/>
      <c r="I74" s="15">
        <f>+SUM(I73:I73)</f>
        <v>612040</v>
      </c>
      <c r="J74" s="15">
        <f>+SUM(J73:J73)</f>
        <v>348800</v>
      </c>
      <c r="K74" s="20"/>
      <c r="L74" s="15">
        <f>+SUM(L73:L73)</f>
        <v>697687</v>
      </c>
      <c r="M74" s="15">
        <f>+SUM(M73:M73)</f>
        <v>72836</v>
      </c>
      <c r="N74" s="15">
        <f>+SUM(N73:N73)</f>
        <v>158483</v>
      </c>
      <c r="O74" s="30">
        <f>+SUM(O73:O73)</f>
        <v>0</v>
      </c>
      <c r="P74" s="34"/>
      <c r="Q74" s="39">
        <f>+SUM(Q73:Q73)</f>
        <v>8.18</v>
      </c>
      <c r="R74" s="39">
        <f>+SUM(R73:R73)</f>
        <v>8.18</v>
      </c>
      <c r="S74" s="15"/>
      <c r="T74" s="15"/>
      <c r="U74" s="44"/>
      <c r="V74" s="39"/>
      <c r="W74" s="8"/>
      <c r="X74" s="7"/>
      <c r="Y74" s="7"/>
      <c r="Z74" s="7"/>
      <c r="AA74" s="7"/>
      <c r="AB74" s="7"/>
      <c r="AC74" s="7"/>
      <c r="AD74" s="7"/>
      <c r="AE74" s="7"/>
    </row>
    <row r="75" spans="1:51" hidden="1" x14ac:dyDescent="0.25">
      <c r="A75" s="9"/>
      <c r="B75" s="9"/>
      <c r="C75" s="26"/>
      <c r="D75" s="26"/>
      <c r="E75" s="26"/>
      <c r="F75" s="16"/>
      <c r="G75" s="9"/>
      <c r="H75" s="9"/>
      <c r="I75" s="16"/>
      <c r="J75" s="16" t="s">
        <v>92</v>
      </c>
      <c r="K75" s="21">
        <f>J74/I74*100</f>
        <v>56.989739232729889</v>
      </c>
      <c r="L75" s="16"/>
      <c r="M75" s="16"/>
      <c r="N75" s="16" t="s">
        <v>93</v>
      </c>
      <c r="O75" s="31"/>
      <c r="P75" s="35"/>
      <c r="Q75" s="40" t="s">
        <v>93</v>
      </c>
      <c r="R75" s="40"/>
      <c r="S75" s="16"/>
      <c r="T75" s="16" t="s">
        <v>93</v>
      </c>
      <c r="U75" s="45"/>
      <c r="V75" s="40"/>
      <c r="W75" s="10"/>
      <c r="X75" s="9"/>
      <c r="Y75" s="9"/>
      <c r="Z75" s="9"/>
      <c r="AA75" s="9"/>
      <c r="AB75" s="9"/>
      <c r="AC75" s="9"/>
      <c r="AD75" s="9"/>
      <c r="AE75" s="9"/>
    </row>
    <row r="76" spans="1:51" hidden="1" x14ac:dyDescent="0.25">
      <c r="A76" s="11"/>
      <c r="B76" s="11"/>
      <c r="C76" s="27"/>
      <c r="D76" s="27"/>
      <c r="E76" s="27"/>
      <c r="F76" s="17"/>
      <c r="G76" s="11"/>
      <c r="H76" s="11"/>
      <c r="I76" s="17"/>
      <c r="J76" s="17" t="s">
        <v>94</v>
      </c>
      <c r="K76" s="22" t="e">
        <f>STDEV(K73:K73)</f>
        <v>#DIV/0!</v>
      </c>
      <c r="L76" s="17"/>
      <c r="M76" s="17"/>
      <c r="N76" s="17" t="s">
        <v>95</v>
      </c>
      <c r="O76" s="47" t="e">
        <f>M74/O74</f>
        <v>#DIV/0!</v>
      </c>
      <c r="P76" s="36"/>
      <c r="Q76" s="41" t="s">
        <v>96</v>
      </c>
      <c r="R76" s="41">
        <f>M74/Q74</f>
        <v>8904.156479217605</v>
      </c>
      <c r="S76" s="17"/>
      <c r="T76" s="17" t="s">
        <v>97</v>
      </c>
      <c r="U76" s="46">
        <f>M74/Q74/43560</f>
        <v>0.20441130576716265</v>
      </c>
      <c r="V76" s="41"/>
      <c r="W76" s="12"/>
      <c r="X76" s="11"/>
      <c r="Y76" s="11"/>
      <c r="Z76" s="11"/>
      <c r="AA76" s="11"/>
      <c r="AB76" s="11"/>
      <c r="AC76" s="11"/>
      <c r="AD76" s="11"/>
      <c r="AE76" s="11"/>
    </row>
    <row r="77" spans="1:51" hidden="1" x14ac:dyDescent="0.25"/>
    <row r="78" spans="1:51" hidden="1" x14ac:dyDescent="0.25"/>
    <row r="79" spans="1:51" hidden="1" x14ac:dyDescent="0.25"/>
    <row r="81" spans="1:23" x14ac:dyDescent="0.25">
      <c r="A81" s="50" t="s">
        <v>99</v>
      </c>
      <c r="B81" s="51"/>
      <c r="C81" s="52"/>
      <c r="D81" s="53"/>
      <c r="E81"/>
      <c r="F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 x14ac:dyDescent="0.25">
      <c r="A82" s="54" t="s">
        <v>100</v>
      </c>
      <c r="B82" s="55" t="s">
        <v>101</v>
      </c>
      <c r="C82" s="55"/>
      <c r="D82" s="55" t="s">
        <v>102</v>
      </c>
      <c r="E82"/>
      <c r="F82" s="49" t="s">
        <v>152</v>
      </c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 x14ac:dyDescent="0.25">
      <c r="A83" s="56">
        <v>1</v>
      </c>
      <c r="B83" s="52">
        <f>R54</f>
        <v>183752.40963855421</v>
      </c>
      <c r="C83" s="52">
        <v>135000</v>
      </c>
      <c r="D83" s="57">
        <f>A83*C83</f>
        <v>135000</v>
      </c>
      <c r="E83" s="58" t="s">
        <v>106</v>
      </c>
      <c r="F83" s="52">
        <v>125000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 x14ac:dyDescent="0.25">
      <c r="A84" s="56">
        <v>1.5</v>
      </c>
      <c r="B84" s="52">
        <f>R62</f>
        <v>98331.120331950195</v>
      </c>
      <c r="C84" s="52">
        <v>93000</v>
      </c>
      <c r="D84" s="57">
        <f t="shared" ref="D84:D98" si="8">A84*C84</f>
        <v>139500</v>
      </c>
      <c r="E84" s="58" t="s">
        <v>106</v>
      </c>
      <c r="F84" s="52">
        <v>93000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 x14ac:dyDescent="0.25">
      <c r="A85" s="56">
        <v>2</v>
      </c>
      <c r="B85" s="52"/>
      <c r="C85" s="52">
        <v>70000</v>
      </c>
      <c r="D85" s="57">
        <f t="shared" si="8"/>
        <v>140000</v>
      </c>
      <c r="E85" s="58" t="s">
        <v>107</v>
      </c>
      <c r="F85" s="52">
        <v>70000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 x14ac:dyDescent="0.25">
      <c r="A86" s="56">
        <v>2.5</v>
      </c>
      <c r="B86" s="52"/>
      <c r="C86" s="52">
        <v>56500</v>
      </c>
      <c r="D86" s="57">
        <f t="shared" si="8"/>
        <v>141250</v>
      </c>
      <c r="E86" s="58" t="s">
        <v>107</v>
      </c>
      <c r="F86" s="52">
        <v>57500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 x14ac:dyDescent="0.25">
      <c r="A87" s="56">
        <v>3</v>
      </c>
      <c r="B87" s="52"/>
      <c r="C87" s="52">
        <v>47500</v>
      </c>
      <c r="D87" s="57">
        <f t="shared" si="8"/>
        <v>142500</v>
      </c>
      <c r="E87" s="58" t="s">
        <v>107</v>
      </c>
      <c r="F87" s="52">
        <v>48000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 x14ac:dyDescent="0.25">
      <c r="A88" s="56">
        <v>4</v>
      </c>
      <c r="B88" s="52"/>
      <c r="C88" s="52">
        <v>36000</v>
      </c>
      <c r="D88" s="57">
        <f t="shared" si="8"/>
        <v>144000</v>
      </c>
      <c r="E88" s="58" t="s">
        <v>107</v>
      </c>
      <c r="F88" s="52">
        <v>38000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 x14ac:dyDescent="0.25">
      <c r="A89" s="56">
        <v>5</v>
      </c>
      <c r="B89" s="52"/>
      <c r="C89" s="52">
        <v>29000</v>
      </c>
      <c r="D89" s="57">
        <f t="shared" si="8"/>
        <v>145000</v>
      </c>
      <c r="E89" s="58" t="s">
        <v>107</v>
      </c>
      <c r="F89" s="52">
        <v>31000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 x14ac:dyDescent="0.25">
      <c r="A90" s="56">
        <v>7</v>
      </c>
      <c r="B90" s="52">
        <f>R69</f>
        <v>12796.217851739788</v>
      </c>
      <c r="C90" s="52">
        <v>21000</v>
      </c>
      <c r="D90" s="57">
        <f t="shared" si="8"/>
        <v>147000</v>
      </c>
      <c r="E90" s="58" t="s">
        <v>106</v>
      </c>
      <c r="F90" s="52">
        <v>22500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 x14ac:dyDescent="0.25">
      <c r="A91" s="56">
        <v>10</v>
      </c>
      <c r="B91" s="52">
        <f>R76</f>
        <v>8904.156479217605</v>
      </c>
      <c r="C91" s="52">
        <v>15000</v>
      </c>
      <c r="D91" s="57">
        <f t="shared" si="8"/>
        <v>150000</v>
      </c>
      <c r="E91" s="58" t="s">
        <v>106</v>
      </c>
      <c r="F91" s="52">
        <v>16000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 x14ac:dyDescent="0.25">
      <c r="A92" s="56">
        <v>15</v>
      </c>
      <c r="B92" s="52"/>
      <c r="C92" s="52">
        <v>11000</v>
      </c>
      <c r="D92" s="57">
        <f t="shared" si="8"/>
        <v>165000</v>
      </c>
      <c r="E92" s="58" t="s">
        <v>107</v>
      </c>
      <c r="F92" s="52">
        <v>11500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 x14ac:dyDescent="0.25">
      <c r="A93" s="56">
        <v>20</v>
      </c>
      <c r="B93" s="52"/>
      <c r="C93" s="52">
        <v>9000</v>
      </c>
      <c r="D93" s="57">
        <f t="shared" si="8"/>
        <v>180000</v>
      </c>
      <c r="E93" s="58" t="s">
        <v>107</v>
      </c>
      <c r="F93" s="52">
        <v>10000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 x14ac:dyDescent="0.25">
      <c r="A94" s="56">
        <v>25</v>
      </c>
      <c r="B94" s="52"/>
      <c r="C94" s="52">
        <v>8000</v>
      </c>
      <c r="D94" s="57">
        <f t="shared" si="8"/>
        <v>200000</v>
      </c>
      <c r="E94" s="58" t="s">
        <v>107</v>
      </c>
      <c r="F94" s="52">
        <v>8500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 x14ac:dyDescent="0.25">
      <c r="A95" s="56">
        <v>30</v>
      </c>
      <c r="B95" s="52"/>
      <c r="C95" s="52">
        <v>7500</v>
      </c>
      <c r="D95" s="57">
        <f t="shared" si="8"/>
        <v>225000</v>
      </c>
      <c r="E95" s="58" t="s">
        <v>107</v>
      </c>
      <c r="F95" s="52">
        <v>7500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 x14ac:dyDescent="0.25">
      <c r="A96" s="56">
        <v>40</v>
      </c>
      <c r="B96" s="52"/>
      <c r="C96" s="52">
        <v>6000</v>
      </c>
      <c r="D96" s="57">
        <f t="shared" si="8"/>
        <v>240000</v>
      </c>
      <c r="E96" s="58" t="s">
        <v>107</v>
      </c>
      <c r="F96" s="52">
        <v>6000</v>
      </c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51" x14ac:dyDescent="0.25">
      <c r="A97" s="56">
        <v>50</v>
      </c>
      <c r="B97" s="52"/>
      <c r="C97" s="52">
        <v>5000</v>
      </c>
      <c r="D97" s="57">
        <f t="shared" si="8"/>
        <v>250000</v>
      </c>
      <c r="E97" s="58" t="s">
        <v>107</v>
      </c>
      <c r="F97" s="52">
        <v>5000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51" x14ac:dyDescent="0.25">
      <c r="A98" s="56">
        <v>100</v>
      </c>
      <c r="B98" s="52"/>
      <c r="C98" s="52">
        <v>2600</v>
      </c>
      <c r="D98" s="57">
        <f t="shared" si="8"/>
        <v>260000</v>
      </c>
      <c r="E98" s="58" t="s">
        <v>107</v>
      </c>
      <c r="F98" s="52">
        <v>2600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51" x14ac:dyDescent="0.25">
      <c r="B99" s="59"/>
      <c r="C99" s="59"/>
      <c r="D99"/>
      <c r="E99"/>
      <c r="F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51" x14ac:dyDescent="0.25">
      <c r="A100" t="s">
        <v>103</v>
      </c>
      <c r="C100"/>
      <c r="D100"/>
      <c r="E100"/>
      <c r="F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51" x14ac:dyDescent="0.25">
      <c r="A101" t="s">
        <v>104</v>
      </c>
      <c r="C101"/>
      <c r="D101"/>
      <c r="E101"/>
      <c r="F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</row>
    <row r="102" spans="1:51" x14ac:dyDescent="0.25">
      <c r="A102" t="s">
        <v>105</v>
      </c>
      <c r="C102"/>
      <c r="D102"/>
      <c r="E102"/>
      <c r="F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</row>
    <row r="103" spans="1:51" x14ac:dyDescent="0.25">
      <c r="C103"/>
      <c r="D103"/>
      <c r="E103"/>
      <c r="F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</row>
    <row r="107" spans="1:51" x14ac:dyDescent="0.25">
      <c r="A107" s="49" t="s">
        <v>115</v>
      </c>
    </row>
    <row r="108" spans="1:51" x14ac:dyDescent="0.25">
      <c r="A108" s="1" t="s">
        <v>0</v>
      </c>
      <c r="B108" s="1" t="s">
        <v>1</v>
      </c>
      <c r="C108" s="23" t="s">
        <v>2</v>
      </c>
      <c r="D108" s="23"/>
      <c r="E108" s="23"/>
      <c r="F108" s="13" t="s">
        <v>3</v>
      </c>
      <c r="G108" s="1" t="s">
        <v>4</v>
      </c>
      <c r="H108" s="1" t="s">
        <v>5</v>
      </c>
      <c r="I108" s="13" t="s">
        <v>6</v>
      </c>
      <c r="J108" s="13" t="s">
        <v>7</v>
      </c>
      <c r="K108" s="18" t="s">
        <v>8</v>
      </c>
      <c r="L108" s="13" t="s">
        <v>9</v>
      </c>
      <c r="M108" s="13" t="s">
        <v>10</v>
      </c>
      <c r="N108" s="13" t="s">
        <v>11</v>
      </c>
      <c r="O108" s="28" t="s">
        <v>12</v>
      </c>
      <c r="P108" s="32" t="s">
        <v>13</v>
      </c>
      <c r="Q108" s="37" t="s">
        <v>14</v>
      </c>
      <c r="R108" s="37" t="s">
        <v>15</v>
      </c>
      <c r="S108" s="13" t="s">
        <v>16</v>
      </c>
      <c r="T108" s="13" t="s">
        <v>17</v>
      </c>
      <c r="U108" s="42" t="s">
        <v>18</v>
      </c>
      <c r="V108" s="37" t="s">
        <v>19</v>
      </c>
      <c r="W108" s="3" t="s">
        <v>20</v>
      </c>
      <c r="X108" s="1" t="s">
        <v>21</v>
      </c>
      <c r="Y108" s="1" t="s">
        <v>22</v>
      </c>
      <c r="Z108" s="1" t="s">
        <v>23</v>
      </c>
      <c r="AA108" s="1" t="s">
        <v>24</v>
      </c>
      <c r="AB108" s="1" t="s">
        <v>25</v>
      </c>
      <c r="AC108" s="1" t="s">
        <v>26</v>
      </c>
      <c r="AD108" s="1" t="s">
        <v>27</v>
      </c>
      <c r="AE108" s="1" t="s">
        <v>28</v>
      </c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</row>
    <row r="109" spans="1:51" x14ac:dyDescent="0.25">
      <c r="A109" t="s">
        <v>62</v>
      </c>
      <c r="B109" t="s">
        <v>63</v>
      </c>
      <c r="C109" s="24">
        <v>44377</v>
      </c>
      <c r="F109" s="14">
        <v>425000</v>
      </c>
      <c r="G109" t="s">
        <v>29</v>
      </c>
      <c r="H109" t="s">
        <v>30</v>
      </c>
      <c r="I109" s="14">
        <v>425000</v>
      </c>
      <c r="J109" s="14">
        <v>214700</v>
      </c>
      <c r="K109" s="19">
        <f>J109/I109*100</f>
        <v>50.517647058823535</v>
      </c>
      <c r="L109" s="14">
        <v>429379</v>
      </c>
      <c r="M109" s="14">
        <f>I109-317404</f>
        <v>107596</v>
      </c>
      <c r="N109" s="14">
        <v>111975</v>
      </c>
      <c r="O109" s="29">
        <v>0</v>
      </c>
      <c r="P109" s="33">
        <v>0</v>
      </c>
      <c r="Q109" s="38">
        <v>2.86</v>
      </c>
      <c r="R109" s="38">
        <v>2.86</v>
      </c>
      <c r="S109" s="14" t="e">
        <f>M109/O109</f>
        <v>#DIV/0!</v>
      </c>
      <c r="T109" s="14">
        <f>M109/Q109</f>
        <v>37620.979020979023</v>
      </c>
      <c r="U109" s="43">
        <f>M109/Q109/43560</f>
        <v>0.86365883886545047</v>
      </c>
      <c r="V109" s="38">
        <v>0</v>
      </c>
      <c r="W109" s="5" t="s">
        <v>34</v>
      </c>
      <c r="X109" t="s">
        <v>64</v>
      </c>
      <c r="Z109" t="s">
        <v>50</v>
      </c>
      <c r="AA109">
        <v>0</v>
      </c>
      <c r="AB109">
        <v>0</v>
      </c>
      <c r="AC109" t="s">
        <v>32</v>
      </c>
      <c r="AE109" s="6" t="s">
        <v>36</v>
      </c>
    </row>
    <row r="110" spans="1:51" x14ac:dyDescent="0.25">
      <c r="A110" t="s">
        <v>47</v>
      </c>
      <c r="B110" t="s">
        <v>48</v>
      </c>
      <c r="C110" s="24">
        <v>44085</v>
      </c>
      <c r="D110" s="48">
        <v>4.4999999999999997E-3</v>
      </c>
      <c r="E110" s="24">
        <v>44652</v>
      </c>
      <c r="F110" s="14">
        <v>1008000</v>
      </c>
      <c r="G110" t="s">
        <v>29</v>
      </c>
      <c r="H110" t="s">
        <v>30</v>
      </c>
      <c r="I110" s="14">
        <f>((DATEDIF(C110,E110, "m")*D110)+1)*F110</f>
        <v>1089648</v>
      </c>
      <c r="J110" s="14">
        <v>428400</v>
      </c>
      <c r="K110" s="19">
        <f>J110/I110*100</f>
        <v>39.315448658649402</v>
      </c>
      <c r="L110" s="14">
        <v>856847</v>
      </c>
      <c r="M110" s="14">
        <f>I110-745434</f>
        <v>344214</v>
      </c>
      <c r="N110" s="14">
        <v>111413</v>
      </c>
      <c r="O110" s="29">
        <v>0</v>
      </c>
      <c r="P110" s="33">
        <v>0</v>
      </c>
      <c r="Q110" s="38">
        <v>2.71</v>
      </c>
      <c r="R110" s="38">
        <v>2.71</v>
      </c>
      <c r="S110" s="14" t="e">
        <f>M110/O110</f>
        <v>#DIV/0!</v>
      </c>
      <c r="T110" s="14">
        <f>M110/Q110</f>
        <v>127016.23616236163</v>
      </c>
      <c r="U110" s="43">
        <f>M110/Q110/43560</f>
        <v>2.9158915556097713</v>
      </c>
      <c r="V110" s="38">
        <v>0</v>
      </c>
      <c r="W110" s="5" t="s">
        <v>34</v>
      </c>
      <c r="X110" t="s">
        <v>49</v>
      </c>
      <c r="Z110" t="s">
        <v>50</v>
      </c>
      <c r="AA110">
        <v>0</v>
      </c>
      <c r="AB110">
        <v>1</v>
      </c>
      <c r="AC110" t="s">
        <v>32</v>
      </c>
      <c r="AE110" s="6" t="s">
        <v>36</v>
      </c>
    </row>
    <row r="111" spans="1:51" x14ac:dyDescent="0.25">
      <c r="A111" t="s">
        <v>130</v>
      </c>
      <c r="B111" t="s">
        <v>131</v>
      </c>
      <c r="C111" s="24">
        <v>44804</v>
      </c>
      <c r="F111" s="14">
        <v>50000</v>
      </c>
      <c r="G111" t="s">
        <v>29</v>
      </c>
      <c r="H111" t="s">
        <v>30</v>
      </c>
      <c r="I111" s="14">
        <v>50000</v>
      </c>
      <c r="J111" s="14">
        <v>55300</v>
      </c>
      <c r="K111" s="19">
        <f>J111/I111*100</f>
        <v>110.60000000000001</v>
      </c>
      <c r="L111" s="14">
        <v>110575</v>
      </c>
      <c r="M111" s="14">
        <f>I111-0</f>
        <v>50000</v>
      </c>
      <c r="N111" s="14">
        <v>110575</v>
      </c>
      <c r="O111" s="29">
        <v>0</v>
      </c>
      <c r="P111" s="33">
        <v>0</v>
      </c>
      <c r="Q111" s="38">
        <v>2.46</v>
      </c>
      <c r="R111" s="38">
        <v>2.46</v>
      </c>
      <c r="S111" s="14" t="e">
        <f>M111/O111</f>
        <v>#DIV/0!</v>
      </c>
      <c r="T111" s="14">
        <f>M111/Q111</f>
        <v>20325.203252032519</v>
      </c>
      <c r="U111" s="43">
        <f>M111/Q111/43560</f>
        <v>0.46660246216787232</v>
      </c>
      <c r="V111" s="38">
        <v>0</v>
      </c>
      <c r="W111" s="5" t="s">
        <v>34</v>
      </c>
      <c r="X111" t="s">
        <v>132</v>
      </c>
      <c r="Z111" t="s">
        <v>133</v>
      </c>
      <c r="AA111">
        <v>0</v>
      </c>
      <c r="AB111">
        <v>0</v>
      </c>
      <c r="AC111" t="s">
        <v>32</v>
      </c>
      <c r="AE111" s="6" t="s">
        <v>36</v>
      </c>
    </row>
    <row r="112" spans="1:51" x14ac:dyDescent="0.25">
      <c r="A112" t="s">
        <v>47</v>
      </c>
      <c r="B112" t="s">
        <v>48</v>
      </c>
      <c r="C112" s="24">
        <v>44946</v>
      </c>
      <c r="F112" s="14">
        <v>1250000</v>
      </c>
      <c r="G112" t="s">
        <v>29</v>
      </c>
      <c r="H112" t="s">
        <v>30</v>
      </c>
      <c r="I112" s="14">
        <v>1250000</v>
      </c>
      <c r="J112" s="14">
        <v>428400</v>
      </c>
      <c r="K112" s="19">
        <f>J112/I112*100</f>
        <v>34.272000000000006</v>
      </c>
      <c r="L112" s="14">
        <v>856847</v>
      </c>
      <c r="M112" s="14">
        <f>I112-745434</f>
        <v>504566</v>
      </c>
      <c r="N112" s="14">
        <v>111413</v>
      </c>
      <c r="O112" s="29">
        <v>0</v>
      </c>
      <c r="P112" s="33">
        <v>0</v>
      </c>
      <c r="Q112" s="38">
        <v>2.71</v>
      </c>
      <c r="R112" s="38">
        <v>2.71</v>
      </c>
      <c r="S112" s="14" t="e">
        <f>M112/O112</f>
        <v>#DIV/0!</v>
      </c>
      <c r="T112" s="14">
        <f>M112/Q112</f>
        <v>186186.71586715867</v>
      </c>
      <c r="U112" s="43">
        <f>M112/Q112/43560</f>
        <v>4.2742588582910619</v>
      </c>
      <c r="V112" s="38">
        <v>0</v>
      </c>
      <c r="W112" s="5" t="s">
        <v>34</v>
      </c>
      <c r="X112" t="s">
        <v>125</v>
      </c>
      <c r="Z112" t="s">
        <v>50</v>
      </c>
      <c r="AA112">
        <v>0</v>
      </c>
      <c r="AB112">
        <v>1</v>
      </c>
      <c r="AC112" t="s">
        <v>32</v>
      </c>
      <c r="AE112" s="6" t="s">
        <v>36</v>
      </c>
    </row>
    <row r="113" spans="1:51" ht="15.75" thickBot="1" x14ac:dyDescent="0.3">
      <c r="A113" t="s">
        <v>126</v>
      </c>
      <c r="B113" t="s">
        <v>127</v>
      </c>
      <c r="C113" s="24">
        <v>44771</v>
      </c>
      <c r="F113" s="14">
        <v>1250000</v>
      </c>
      <c r="G113" t="s">
        <v>29</v>
      </c>
      <c r="H113" t="s">
        <v>37</v>
      </c>
      <c r="I113" s="14">
        <v>1250000</v>
      </c>
      <c r="J113" s="14">
        <v>449100</v>
      </c>
      <c r="K113" s="19">
        <f>J113/I113*100</f>
        <v>35.927999999999997</v>
      </c>
      <c r="L113" s="14">
        <v>1058439</v>
      </c>
      <c r="M113" s="14">
        <f>I113-559714</f>
        <v>690286</v>
      </c>
      <c r="N113" s="14">
        <v>338500</v>
      </c>
      <c r="O113" s="29">
        <v>0</v>
      </c>
      <c r="P113" s="33">
        <v>0</v>
      </c>
      <c r="Q113" s="38">
        <v>28.94</v>
      </c>
      <c r="R113" s="38">
        <v>18.850000000000001</v>
      </c>
      <c r="S113" s="14" t="e">
        <f>M113/O113</f>
        <v>#DIV/0!</v>
      </c>
      <c r="T113" s="14">
        <f>M113/Q113</f>
        <v>23852.315134761575</v>
      </c>
      <c r="U113" s="43">
        <f>M113/Q113/43560</f>
        <v>0.54757380933796085</v>
      </c>
      <c r="V113" s="38">
        <v>0</v>
      </c>
      <c r="W113" s="5" t="s">
        <v>34</v>
      </c>
      <c r="X113" t="s">
        <v>128</v>
      </c>
      <c r="Y113" t="s">
        <v>129</v>
      </c>
      <c r="Z113" t="s">
        <v>50</v>
      </c>
      <c r="AA113">
        <v>0</v>
      </c>
      <c r="AB113">
        <v>1</v>
      </c>
      <c r="AC113" t="s">
        <v>32</v>
      </c>
      <c r="AE113" s="6" t="s">
        <v>36</v>
      </c>
    </row>
    <row r="114" spans="1:51" ht="15.75" thickTop="1" x14ac:dyDescent="0.25">
      <c r="A114" s="7"/>
      <c r="B114" s="7"/>
      <c r="C114" s="25" t="s">
        <v>91</v>
      </c>
      <c r="D114" s="25"/>
      <c r="E114" s="25"/>
      <c r="F114" s="15">
        <f>+SUM(F109:F113)</f>
        <v>3983000</v>
      </c>
      <c r="G114" s="7"/>
      <c r="H114" s="7"/>
      <c r="I114" s="15">
        <f>+SUM(I109:I113)</f>
        <v>4064648</v>
      </c>
      <c r="J114" s="15">
        <f>+SUM(J109:J113)</f>
        <v>1575900</v>
      </c>
      <c r="K114" s="20"/>
      <c r="L114" s="15">
        <f>+SUM(L109:L113)</f>
        <v>3312087</v>
      </c>
      <c r="M114" s="15">
        <f>+SUM(M109:M113)</f>
        <v>1696662</v>
      </c>
      <c r="N114" s="15">
        <f>+SUM(N109:N113)</f>
        <v>783876</v>
      </c>
      <c r="O114" s="30">
        <f>+SUM(O109:O113)</f>
        <v>0</v>
      </c>
      <c r="P114" s="34"/>
      <c r="Q114" s="39">
        <f>+SUM(Q109:Q113)</f>
        <v>39.680000000000007</v>
      </c>
      <c r="R114" s="39">
        <f>+SUM(R109:R113)</f>
        <v>29.590000000000003</v>
      </c>
      <c r="S114" s="15"/>
      <c r="T114" s="15"/>
      <c r="U114" s="44"/>
      <c r="V114" s="39"/>
      <c r="W114" s="8"/>
      <c r="X114" s="7"/>
      <c r="Y114" s="7"/>
      <c r="Z114" s="7"/>
      <c r="AA114" s="7"/>
      <c r="AB114" s="7"/>
      <c r="AC114" s="7"/>
      <c r="AD114" s="7"/>
      <c r="AE114" s="7"/>
    </row>
    <row r="115" spans="1:51" x14ac:dyDescent="0.25">
      <c r="A115" s="9"/>
      <c r="B115" s="9"/>
      <c r="C115" s="26"/>
      <c r="D115" s="26"/>
      <c r="E115" s="26"/>
      <c r="F115" s="16"/>
      <c r="G115" s="9"/>
      <c r="H115" s="9"/>
      <c r="I115" s="16"/>
      <c r="J115" s="16" t="s">
        <v>92</v>
      </c>
      <c r="K115" s="21">
        <f>J114/I114*100</f>
        <v>38.770884957319794</v>
      </c>
      <c r="L115" s="16"/>
      <c r="M115" s="16"/>
      <c r="N115" s="16" t="s">
        <v>93</v>
      </c>
      <c r="O115" s="31"/>
      <c r="P115" s="35"/>
      <c r="Q115" s="40" t="s">
        <v>93</v>
      </c>
      <c r="R115" s="40"/>
      <c r="S115" s="16"/>
      <c r="T115" s="16" t="s">
        <v>93</v>
      </c>
      <c r="U115" s="45"/>
      <c r="V115" s="40"/>
      <c r="W115" s="10"/>
      <c r="X115" s="9"/>
      <c r="Y115" s="9"/>
      <c r="Z115" s="9"/>
      <c r="AA115" s="9"/>
      <c r="AB115" s="9"/>
      <c r="AC115" s="9"/>
      <c r="AD115" s="9"/>
      <c r="AE115" s="9"/>
    </row>
    <row r="116" spans="1:51" x14ac:dyDescent="0.25">
      <c r="A116" s="11"/>
      <c r="B116" s="11"/>
      <c r="C116" s="27"/>
      <c r="D116" s="27"/>
      <c r="E116" s="27"/>
      <c r="F116" s="17"/>
      <c r="G116" s="11"/>
      <c r="H116" s="11"/>
      <c r="I116" s="17"/>
      <c r="J116" s="17" t="s">
        <v>94</v>
      </c>
      <c r="K116" s="22">
        <f>STDEV(K109:K113)</f>
        <v>32.198733810765717</v>
      </c>
      <c r="L116" s="17"/>
      <c r="M116" s="17"/>
      <c r="N116" s="17" t="s">
        <v>95</v>
      </c>
      <c r="O116" s="47" t="e">
        <f>M114/O114</f>
        <v>#DIV/0!</v>
      </c>
      <c r="P116" s="36"/>
      <c r="Q116" s="41" t="s">
        <v>96</v>
      </c>
      <c r="R116" s="41">
        <f>M114/Q114</f>
        <v>42758.618951612894</v>
      </c>
      <c r="S116" s="17"/>
      <c r="T116" s="17" t="s">
        <v>97</v>
      </c>
      <c r="U116" s="46">
        <f>M114/Q114/43560</f>
        <v>0.98160282258064491</v>
      </c>
      <c r="V116" s="41"/>
      <c r="W116" s="12"/>
      <c r="X116" s="11"/>
      <c r="Y116" s="11"/>
      <c r="Z116" s="11"/>
      <c r="AA116" s="11"/>
      <c r="AB116" s="11"/>
      <c r="AC116" s="11"/>
      <c r="AD116" s="11"/>
      <c r="AE116" s="11"/>
    </row>
    <row r="118" spans="1:51" hidden="1" x14ac:dyDescent="0.25"/>
    <row r="119" spans="1:51" hidden="1" x14ac:dyDescent="0.25">
      <c r="A119" s="1" t="s">
        <v>0</v>
      </c>
      <c r="B119" s="1" t="s">
        <v>1</v>
      </c>
      <c r="C119" s="23" t="s">
        <v>2</v>
      </c>
      <c r="D119" s="23"/>
      <c r="E119" s="23"/>
      <c r="F119" s="13" t="s">
        <v>3</v>
      </c>
      <c r="G119" s="1" t="s">
        <v>4</v>
      </c>
      <c r="H119" s="1" t="s">
        <v>5</v>
      </c>
      <c r="I119" s="13" t="s">
        <v>6</v>
      </c>
      <c r="J119" s="13" t="s">
        <v>7</v>
      </c>
      <c r="K119" s="18" t="s">
        <v>8</v>
      </c>
      <c r="L119" s="13" t="s">
        <v>9</v>
      </c>
      <c r="M119" s="13" t="s">
        <v>10</v>
      </c>
      <c r="N119" s="13" t="s">
        <v>11</v>
      </c>
      <c r="O119" s="28" t="s">
        <v>12</v>
      </c>
      <c r="P119" s="32" t="s">
        <v>13</v>
      </c>
      <c r="Q119" s="37" t="s">
        <v>14</v>
      </c>
      <c r="R119" s="37" t="s">
        <v>15</v>
      </c>
      <c r="S119" s="13" t="s">
        <v>16</v>
      </c>
      <c r="T119" s="13" t="s">
        <v>17</v>
      </c>
      <c r="U119" s="42" t="s">
        <v>18</v>
      </c>
      <c r="V119" s="37" t="s">
        <v>19</v>
      </c>
      <c r="W119" s="3" t="s">
        <v>20</v>
      </c>
      <c r="X119" s="1" t="s">
        <v>21</v>
      </c>
      <c r="Y119" s="1" t="s">
        <v>22</v>
      </c>
      <c r="Z119" s="1" t="s">
        <v>23</v>
      </c>
      <c r="AA119" s="1" t="s">
        <v>24</v>
      </c>
      <c r="AB119" s="1" t="s">
        <v>25</v>
      </c>
      <c r="AC119" s="1" t="s">
        <v>26</v>
      </c>
      <c r="AD119" s="1" t="s">
        <v>27</v>
      </c>
      <c r="AE119" s="1" t="s">
        <v>28</v>
      </c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</row>
    <row r="120" spans="1:51" hidden="1" x14ac:dyDescent="0.25">
      <c r="A120" t="s">
        <v>62</v>
      </c>
      <c r="B120" t="s">
        <v>63</v>
      </c>
      <c r="C120" s="24">
        <v>44377</v>
      </c>
      <c r="F120" s="14">
        <v>425000</v>
      </c>
      <c r="G120" t="s">
        <v>29</v>
      </c>
      <c r="H120" t="s">
        <v>30</v>
      </c>
      <c r="I120" s="14">
        <v>425000</v>
      </c>
      <c r="J120" s="14">
        <v>214700</v>
      </c>
      <c r="K120" s="19">
        <f>J120/I120*100</f>
        <v>50.517647058823535</v>
      </c>
      <c r="L120" s="14">
        <v>429379</v>
      </c>
      <c r="M120" s="14">
        <f>I120-317404</f>
        <v>107596</v>
      </c>
      <c r="N120" s="14">
        <v>111975</v>
      </c>
      <c r="O120" s="29">
        <v>0</v>
      </c>
      <c r="P120" s="33">
        <v>0</v>
      </c>
      <c r="Q120" s="38">
        <v>2.86</v>
      </c>
      <c r="R120" s="38">
        <v>2.86</v>
      </c>
      <c r="S120" s="14" t="e">
        <f>M120/O120</f>
        <v>#DIV/0!</v>
      </c>
      <c r="T120" s="14">
        <f>M120/Q120</f>
        <v>37620.979020979023</v>
      </c>
      <c r="U120" s="43">
        <f>M120/Q120/43560</f>
        <v>0.86365883886545047</v>
      </c>
      <c r="V120" s="38">
        <v>0</v>
      </c>
      <c r="W120" s="5" t="s">
        <v>34</v>
      </c>
      <c r="X120" t="s">
        <v>64</v>
      </c>
      <c r="Z120" t="s">
        <v>50</v>
      </c>
      <c r="AA120">
        <v>0</v>
      </c>
      <c r="AB120">
        <v>0</v>
      </c>
      <c r="AC120" t="s">
        <v>32</v>
      </c>
      <c r="AE120" s="6" t="s">
        <v>36</v>
      </c>
    </row>
    <row r="121" spans="1:51" hidden="1" x14ac:dyDescent="0.25">
      <c r="A121" t="s">
        <v>130</v>
      </c>
      <c r="B121" t="s">
        <v>131</v>
      </c>
      <c r="C121" s="24">
        <v>44804</v>
      </c>
      <c r="F121" s="14">
        <v>50000</v>
      </c>
      <c r="G121" t="s">
        <v>29</v>
      </c>
      <c r="H121" t="s">
        <v>30</v>
      </c>
      <c r="I121" s="14">
        <v>50000</v>
      </c>
      <c r="J121" s="14">
        <v>55300</v>
      </c>
      <c r="K121" s="19">
        <f>J121/I121*100</f>
        <v>110.60000000000001</v>
      </c>
      <c r="L121" s="14">
        <v>110575</v>
      </c>
      <c r="M121" s="14">
        <f>I121-0</f>
        <v>50000</v>
      </c>
      <c r="N121" s="14">
        <v>110575</v>
      </c>
      <c r="O121" s="29">
        <v>0</v>
      </c>
      <c r="P121" s="33">
        <v>0</v>
      </c>
      <c r="Q121" s="38">
        <v>2.46</v>
      </c>
      <c r="R121" s="38">
        <v>2.46</v>
      </c>
      <c r="S121" s="14" t="e">
        <f>M121/O121</f>
        <v>#DIV/0!</v>
      </c>
      <c r="T121" s="14">
        <f>M121/Q121</f>
        <v>20325.203252032519</v>
      </c>
      <c r="U121" s="43">
        <f>M121/Q121/43560</f>
        <v>0.46660246216787232</v>
      </c>
      <c r="V121" s="38">
        <v>0</v>
      </c>
      <c r="W121" s="5" t="s">
        <v>34</v>
      </c>
      <c r="X121" t="s">
        <v>132</v>
      </c>
      <c r="Z121" t="s">
        <v>133</v>
      </c>
      <c r="AA121">
        <v>0</v>
      </c>
      <c r="AB121">
        <v>0</v>
      </c>
      <c r="AC121" t="s">
        <v>32</v>
      </c>
      <c r="AE121" s="6" t="s">
        <v>36</v>
      </c>
    </row>
    <row r="122" spans="1:51" hidden="1" x14ac:dyDescent="0.25">
      <c r="A122" t="s">
        <v>47</v>
      </c>
      <c r="B122" t="s">
        <v>48</v>
      </c>
      <c r="C122" s="24">
        <v>44085</v>
      </c>
      <c r="D122" s="48">
        <v>4.4999999999999997E-3</v>
      </c>
      <c r="E122" s="24">
        <v>44652</v>
      </c>
      <c r="F122" s="14">
        <v>1008000</v>
      </c>
      <c r="G122" t="s">
        <v>29</v>
      </c>
      <c r="H122" t="s">
        <v>30</v>
      </c>
      <c r="I122" s="14">
        <f>((DATEDIF(C122,E122, "m")*D122)+1)*F122</f>
        <v>1089648</v>
      </c>
      <c r="J122" s="14">
        <v>428400</v>
      </c>
      <c r="K122" s="19">
        <f>J122/I122*100</f>
        <v>39.315448658649402</v>
      </c>
      <c r="L122" s="14">
        <v>856847</v>
      </c>
      <c r="M122" s="14">
        <f>I122-745434</f>
        <v>344214</v>
      </c>
      <c r="N122" s="14">
        <v>111413</v>
      </c>
      <c r="O122" s="29">
        <v>0</v>
      </c>
      <c r="P122" s="33">
        <v>0</v>
      </c>
      <c r="Q122" s="38">
        <v>2.71</v>
      </c>
      <c r="R122" s="38">
        <v>2.71</v>
      </c>
      <c r="S122" s="14" t="e">
        <f>M122/O122</f>
        <v>#DIV/0!</v>
      </c>
      <c r="T122" s="14">
        <f>M122/Q122</f>
        <v>127016.23616236163</v>
      </c>
      <c r="U122" s="43">
        <f>M122/Q122/43560</f>
        <v>2.9158915556097713</v>
      </c>
      <c r="V122" s="38">
        <v>0</v>
      </c>
      <c r="W122" s="5" t="s">
        <v>34</v>
      </c>
      <c r="X122" t="s">
        <v>49</v>
      </c>
      <c r="Z122" t="s">
        <v>50</v>
      </c>
      <c r="AA122">
        <v>0</v>
      </c>
      <c r="AB122">
        <v>1</v>
      </c>
      <c r="AC122" t="s">
        <v>32</v>
      </c>
      <c r="AE122" s="6" t="s">
        <v>36</v>
      </c>
    </row>
    <row r="123" spans="1:51" ht="15.75" hidden="1" thickBot="1" x14ac:dyDescent="0.3">
      <c r="A123" t="s">
        <v>47</v>
      </c>
      <c r="B123" t="s">
        <v>48</v>
      </c>
      <c r="C123" s="24">
        <v>44946</v>
      </c>
      <c r="F123" s="14">
        <v>1250000</v>
      </c>
      <c r="G123" t="s">
        <v>29</v>
      </c>
      <c r="H123" t="s">
        <v>30</v>
      </c>
      <c r="I123" s="14">
        <v>1250000</v>
      </c>
      <c r="J123" s="14">
        <v>428400</v>
      </c>
      <c r="K123" s="19">
        <f>J123/I123*100</f>
        <v>34.272000000000006</v>
      </c>
      <c r="L123" s="14">
        <v>856847</v>
      </c>
      <c r="M123" s="14">
        <f>I123-745434</f>
        <v>504566</v>
      </c>
      <c r="N123" s="14">
        <v>111413</v>
      </c>
      <c r="O123" s="29">
        <v>0</v>
      </c>
      <c r="P123" s="33">
        <v>0</v>
      </c>
      <c r="Q123" s="38">
        <v>2.71</v>
      </c>
      <c r="R123" s="38">
        <v>2.71</v>
      </c>
      <c r="S123" s="14" t="e">
        <f>M123/O123</f>
        <v>#DIV/0!</v>
      </c>
      <c r="T123" s="14">
        <f>M123/Q123</f>
        <v>186186.71586715867</v>
      </c>
      <c r="U123" s="43">
        <f>M123/Q123/43560</f>
        <v>4.2742588582910619</v>
      </c>
      <c r="V123" s="38">
        <v>0</v>
      </c>
      <c r="W123" s="5" t="s">
        <v>34</v>
      </c>
      <c r="X123" t="s">
        <v>125</v>
      </c>
      <c r="Z123" t="s">
        <v>50</v>
      </c>
      <c r="AA123">
        <v>0</v>
      </c>
      <c r="AB123">
        <v>1</v>
      </c>
      <c r="AC123" t="s">
        <v>32</v>
      </c>
      <c r="AE123" s="6" t="s">
        <v>36</v>
      </c>
    </row>
    <row r="124" spans="1:51" ht="15.75" hidden="1" thickTop="1" x14ac:dyDescent="0.25">
      <c r="A124" s="7"/>
      <c r="B124" s="7"/>
      <c r="C124" s="25" t="s">
        <v>91</v>
      </c>
      <c r="D124" s="25"/>
      <c r="E124" s="25"/>
      <c r="F124" s="15">
        <f>+SUM(F120:F123)</f>
        <v>2733000</v>
      </c>
      <c r="G124" s="7"/>
      <c r="H124" s="7"/>
      <c r="I124" s="15">
        <f>+SUM(I120:I123)</f>
        <v>2814648</v>
      </c>
      <c r="J124" s="15">
        <f>+SUM(J120:J123)</f>
        <v>1126800</v>
      </c>
      <c r="K124" s="20"/>
      <c r="L124" s="15">
        <f>+SUM(L120:L123)</f>
        <v>2253648</v>
      </c>
      <c r="M124" s="15">
        <f>+SUM(M120:M123)</f>
        <v>1006376</v>
      </c>
      <c r="N124" s="15">
        <f>+SUM(N120:N123)</f>
        <v>445376</v>
      </c>
      <c r="O124" s="30">
        <f>+SUM(O120:O123)</f>
        <v>0</v>
      </c>
      <c r="P124" s="34"/>
      <c r="Q124" s="39">
        <f>+SUM(Q120:Q123)</f>
        <v>10.740000000000002</v>
      </c>
      <c r="R124" s="39">
        <f>+SUM(R120:R123)</f>
        <v>10.740000000000002</v>
      </c>
      <c r="S124" s="15"/>
      <c r="T124" s="15"/>
      <c r="U124" s="44"/>
      <c r="V124" s="39"/>
      <c r="W124" s="8"/>
      <c r="X124" s="7"/>
      <c r="Y124" s="7"/>
      <c r="Z124" s="7"/>
      <c r="AA124" s="7"/>
      <c r="AB124" s="7"/>
      <c r="AC124" s="7"/>
      <c r="AD124" s="7"/>
      <c r="AE124" s="7"/>
    </row>
    <row r="125" spans="1:51" hidden="1" x14ac:dyDescent="0.25">
      <c r="A125" s="9"/>
      <c r="B125" s="9"/>
      <c r="C125" s="26"/>
      <c r="D125" s="26"/>
      <c r="E125" s="26"/>
      <c r="F125" s="16"/>
      <c r="G125" s="9"/>
      <c r="H125" s="9"/>
      <c r="I125" s="16"/>
      <c r="J125" s="16" t="s">
        <v>92</v>
      </c>
      <c r="K125" s="21">
        <f>J124/I124*100</f>
        <v>40.033425138774014</v>
      </c>
      <c r="L125" s="16"/>
      <c r="M125" s="16"/>
      <c r="N125" s="16" t="s">
        <v>93</v>
      </c>
      <c r="O125" s="31"/>
      <c r="P125" s="35"/>
      <c r="Q125" s="40" t="s">
        <v>93</v>
      </c>
      <c r="R125" s="40"/>
      <c r="S125" s="16"/>
      <c r="T125" s="16" t="s">
        <v>93</v>
      </c>
      <c r="U125" s="45"/>
      <c r="V125" s="40"/>
      <c r="W125" s="10"/>
      <c r="X125" s="9"/>
      <c r="Y125" s="9"/>
      <c r="Z125" s="9"/>
      <c r="AA125" s="9"/>
      <c r="AB125" s="9"/>
      <c r="AC125" s="9"/>
      <c r="AD125" s="9"/>
      <c r="AE125" s="9"/>
    </row>
    <row r="126" spans="1:51" hidden="1" x14ac:dyDescent="0.25">
      <c r="A126" s="11"/>
      <c r="B126" s="11"/>
      <c r="C126" s="27"/>
      <c r="D126" s="27"/>
      <c r="E126" s="27"/>
      <c r="F126" s="17"/>
      <c r="G126" s="11"/>
      <c r="H126" s="11"/>
      <c r="I126" s="17"/>
      <c r="J126" s="17" t="s">
        <v>94</v>
      </c>
      <c r="K126" s="22">
        <f>STDEV(K120:K123)</f>
        <v>35.275329729872723</v>
      </c>
      <c r="L126" s="17"/>
      <c r="M126" s="17"/>
      <c r="N126" s="17" t="s">
        <v>95</v>
      </c>
      <c r="O126" s="47" t="e">
        <f>M124/O124</f>
        <v>#DIV/0!</v>
      </c>
      <c r="P126" s="36"/>
      <c r="Q126" s="41" t="s">
        <v>96</v>
      </c>
      <c r="R126" s="41">
        <f>M124/Q124</f>
        <v>93703.538175046531</v>
      </c>
      <c r="S126" s="17"/>
      <c r="T126" s="17" t="s">
        <v>97</v>
      </c>
      <c r="U126" s="46">
        <f>M124/Q124/43560</f>
        <v>2.1511372400148425</v>
      </c>
      <c r="V126" s="41"/>
      <c r="W126" s="12"/>
      <c r="X126" s="11"/>
      <c r="Y126" s="11"/>
      <c r="Z126" s="11"/>
      <c r="AA126" s="11"/>
      <c r="AB126" s="11"/>
      <c r="AC126" s="11"/>
      <c r="AD126" s="11"/>
      <c r="AE126" s="11"/>
    </row>
    <row r="127" spans="1:51" hidden="1" x14ac:dyDescent="0.25"/>
    <row r="128" spans="1:51" hidden="1" x14ac:dyDescent="0.25"/>
    <row r="129" spans="1:51" hidden="1" x14ac:dyDescent="0.25">
      <c r="A129" s="1" t="s">
        <v>0</v>
      </c>
      <c r="B129" s="1" t="s">
        <v>1</v>
      </c>
      <c r="C129" s="23" t="s">
        <v>2</v>
      </c>
      <c r="D129" s="23"/>
      <c r="E129" s="23"/>
      <c r="F129" s="13" t="s">
        <v>3</v>
      </c>
      <c r="G129" s="1" t="s">
        <v>4</v>
      </c>
      <c r="H129" s="1" t="s">
        <v>5</v>
      </c>
      <c r="I129" s="13" t="s">
        <v>6</v>
      </c>
      <c r="J129" s="13" t="s">
        <v>7</v>
      </c>
      <c r="K129" s="18" t="s">
        <v>8</v>
      </c>
      <c r="L129" s="13" t="s">
        <v>9</v>
      </c>
      <c r="M129" s="13" t="s">
        <v>10</v>
      </c>
      <c r="N129" s="13" t="s">
        <v>11</v>
      </c>
      <c r="O129" s="28" t="s">
        <v>12</v>
      </c>
      <c r="P129" s="32" t="s">
        <v>13</v>
      </c>
      <c r="Q129" s="37" t="s">
        <v>14</v>
      </c>
      <c r="R129" s="37" t="s">
        <v>15</v>
      </c>
      <c r="S129" s="13" t="s">
        <v>16</v>
      </c>
      <c r="T129" s="13" t="s">
        <v>17</v>
      </c>
      <c r="U129" s="42" t="s">
        <v>18</v>
      </c>
      <c r="V129" s="37" t="s">
        <v>19</v>
      </c>
      <c r="W129" s="3" t="s">
        <v>20</v>
      </c>
      <c r="X129" s="1" t="s">
        <v>21</v>
      </c>
      <c r="Y129" s="1" t="s">
        <v>22</v>
      </c>
      <c r="Z129" s="1" t="s">
        <v>23</v>
      </c>
      <c r="AA129" s="1" t="s">
        <v>24</v>
      </c>
      <c r="AB129" s="1" t="s">
        <v>25</v>
      </c>
      <c r="AC129" s="1" t="s">
        <v>26</v>
      </c>
      <c r="AD129" s="1" t="s">
        <v>27</v>
      </c>
      <c r="AE129" s="1" t="s">
        <v>28</v>
      </c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</row>
    <row r="130" spans="1:51" ht="15.75" hidden="1" thickBot="1" x14ac:dyDescent="0.3">
      <c r="A130" t="s">
        <v>126</v>
      </c>
      <c r="B130" t="s">
        <v>127</v>
      </c>
      <c r="C130" s="24">
        <v>44771</v>
      </c>
      <c r="F130" s="14">
        <v>1250000</v>
      </c>
      <c r="G130" t="s">
        <v>29</v>
      </c>
      <c r="H130" t="s">
        <v>37</v>
      </c>
      <c r="I130" s="14">
        <v>1250000</v>
      </c>
      <c r="J130" s="14">
        <v>449100</v>
      </c>
      <c r="K130" s="19">
        <f>J130/I130*100</f>
        <v>35.927999999999997</v>
      </c>
      <c r="L130" s="14">
        <v>1058439</v>
      </c>
      <c r="M130" s="14">
        <f>I130-559714</f>
        <v>690286</v>
      </c>
      <c r="N130" s="14">
        <v>338500</v>
      </c>
      <c r="O130" s="29">
        <v>0</v>
      </c>
      <c r="P130" s="33">
        <v>0</v>
      </c>
      <c r="Q130" s="38">
        <v>28.94</v>
      </c>
      <c r="R130" s="38">
        <v>18.850000000000001</v>
      </c>
      <c r="S130" s="14" t="e">
        <f>M130/O130</f>
        <v>#DIV/0!</v>
      </c>
      <c r="T130" s="14">
        <f>M130/Q130</f>
        <v>23852.315134761575</v>
      </c>
      <c r="U130" s="43">
        <f>M130/Q130/43560</f>
        <v>0.54757380933796085</v>
      </c>
      <c r="V130" s="38">
        <v>0</v>
      </c>
      <c r="W130" s="5" t="s">
        <v>34</v>
      </c>
      <c r="X130" t="s">
        <v>128</v>
      </c>
      <c r="Y130" t="s">
        <v>129</v>
      </c>
      <c r="Z130" t="s">
        <v>50</v>
      </c>
      <c r="AA130">
        <v>0</v>
      </c>
      <c r="AB130">
        <v>1</v>
      </c>
      <c r="AC130" t="s">
        <v>32</v>
      </c>
      <c r="AE130" s="6" t="s">
        <v>36</v>
      </c>
    </row>
    <row r="131" spans="1:51" ht="15.75" hidden="1" thickTop="1" x14ac:dyDescent="0.25">
      <c r="A131" s="7"/>
      <c r="B131" s="7"/>
      <c r="C131" s="25" t="s">
        <v>91</v>
      </c>
      <c r="D131" s="25"/>
      <c r="E131" s="25"/>
      <c r="F131" s="15">
        <f>+SUM(F130:F130)</f>
        <v>1250000</v>
      </c>
      <c r="G131" s="7"/>
      <c r="H131" s="7"/>
      <c r="I131" s="15">
        <f>+SUM(I130:I130)</f>
        <v>1250000</v>
      </c>
      <c r="J131" s="15">
        <f>+SUM(J130:J130)</f>
        <v>449100</v>
      </c>
      <c r="K131" s="20"/>
      <c r="L131" s="15">
        <f>+SUM(L130:L130)</f>
        <v>1058439</v>
      </c>
      <c r="M131" s="15">
        <f>+SUM(M130:M130)</f>
        <v>690286</v>
      </c>
      <c r="N131" s="15">
        <f>+SUM(N130:N130)</f>
        <v>338500</v>
      </c>
      <c r="O131" s="30">
        <f>+SUM(O130:O130)</f>
        <v>0</v>
      </c>
      <c r="P131" s="34"/>
      <c r="Q131" s="39">
        <f>+SUM(Q130:Q130)</f>
        <v>28.94</v>
      </c>
      <c r="R131" s="39">
        <f>+SUM(R130:R130)</f>
        <v>18.850000000000001</v>
      </c>
      <c r="S131" s="15"/>
      <c r="T131" s="15"/>
      <c r="U131" s="44"/>
      <c r="V131" s="39"/>
      <c r="W131" s="8"/>
      <c r="X131" s="7"/>
      <c r="Y131" s="7"/>
      <c r="Z131" s="7"/>
      <c r="AA131" s="7"/>
      <c r="AB131" s="7"/>
      <c r="AC131" s="7"/>
      <c r="AD131" s="7"/>
      <c r="AE131" s="7"/>
    </row>
    <row r="132" spans="1:51" hidden="1" x14ac:dyDescent="0.25">
      <c r="A132" s="9"/>
      <c r="B132" s="9"/>
      <c r="C132" s="26"/>
      <c r="D132" s="26"/>
      <c r="E132" s="26"/>
      <c r="F132" s="16"/>
      <c r="G132" s="9"/>
      <c r="H132" s="9"/>
      <c r="I132" s="16"/>
      <c r="J132" s="16" t="s">
        <v>92</v>
      </c>
      <c r="K132" s="21">
        <f>J131/I131*100</f>
        <v>35.927999999999997</v>
      </c>
      <c r="L132" s="16"/>
      <c r="M132" s="16"/>
      <c r="N132" s="16" t="s">
        <v>93</v>
      </c>
      <c r="O132" s="31"/>
      <c r="P132" s="35"/>
      <c r="Q132" s="40" t="s">
        <v>93</v>
      </c>
      <c r="R132" s="40"/>
      <c r="S132" s="16"/>
      <c r="T132" s="16" t="s">
        <v>93</v>
      </c>
      <c r="U132" s="45"/>
      <c r="V132" s="40"/>
      <c r="W132" s="10"/>
      <c r="X132" s="9"/>
      <c r="Y132" s="9"/>
      <c r="Z132" s="9"/>
      <c r="AA132" s="9"/>
      <c r="AB132" s="9"/>
      <c r="AC132" s="9"/>
      <c r="AD132" s="9"/>
      <c r="AE132" s="9"/>
    </row>
    <row r="133" spans="1:51" hidden="1" x14ac:dyDescent="0.25">
      <c r="A133" s="11"/>
      <c r="B133" s="11"/>
      <c r="C133" s="27"/>
      <c r="D133" s="27"/>
      <c r="E133" s="27"/>
      <c r="F133" s="17"/>
      <c r="G133" s="11"/>
      <c r="H133" s="11"/>
      <c r="I133" s="17"/>
      <c r="J133" s="17" t="s">
        <v>94</v>
      </c>
      <c r="K133" s="22" t="e">
        <f>STDEV(K130:K130)</f>
        <v>#DIV/0!</v>
      </c>
      <c r="L133" s="17"/>
      <c r="M133" s="17"/>
      <c r="N133" s="17" t="s">
        <v>95</v>
      </c>
      <c r="O133" s="47" t="e">
        <f>M131/O131</f>
        <v>#DIV/0!</v>
      </c>
      <c r="P133" s="36"/>
      <c r="Q133" s="41" t="s">
        <v>96</v>
      </c>
      <c r="R133" s="41">
        <f>M131/Q131</f>
        <v>23852.315134761575</v>
      </c>
      <c r="S133" s="17"/>
      <c r="T133" s="17" t="s">
        <v>97</v>
      </c>
      <c r="U133" s="46">
        <f>M131/Q131/43560</f>
        <v>0.54757380933796085</v>
      </c>
      <c r="V133" s="41"/>
      <c r="W133" s="12"/>
      <c r="X133" s="11"/>
      <c r="Y133" s="11"/>
      <c r="Z133" s="11"/>
      <c r="AA133" s="11"/>
      <c r="AB133" s="11"/>
      <c r="AC133" s="11"/>
      <c r="AD133" s="11"/>
      <c r="AE133" s="11"/>
    </row>
    <row r="134" spans="1:51" hidden="1" x14ac:dyDescent="0.25"/>
    <row r="137" spans="1:51" x14ac:dyDescent="0.25">
      <c r="A137" s="50" t="s">
        <v>99</v>
      </c>
      <c r="B137" s="51"/>
      <c r="C137" s="52"/>
      <c r="D137" s="53"/>
      <c r="E137"/>
      <c r="F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</row>
    <row r="138" spans="1:51" x14ac:dyDescent="0.25">
      <c r="A138" s="54" t="s">
        <v>100</v>
      </c>
      <c r="B138" s="55" t="s">
        <v>101</v>
      </c>
      <c r="C138" s="55"/>
      <c r="D138" s="55" t="s">
        <v>108</v>
      </c>
      <c r="E138"/>
      <c r="F138" s="49" t="s">
        <v>152</v>
      </c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</row>
    <row r="139" spans="1:51" x14ac:dyDescent="0.25">
      <c r="A139" s="56">
        <v>1</v>
      </c>
      <c r="B139" s="52"/>
      <c r="C139" s="52">
        <v>90000</v>
      </c>
      <c r="D139" s="57">
        <f>A139*C139</f>
        <v>90000</v>
      </c>
      <c r="E139" s="58" t="s">
        <v>107</v>
      </c>
      <c r="F139" s="52">
        <v>90000</v>
      </c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</row>
    <row r="140" spans="1:51" x14ac:dyDescent="0.25">
      <c r="A140" s="56">
        <v>1.5</v>
      </c>
      <c r="B140" s="52"/>
      <c r="C140" s="52">
        <v>66000</v>
      </c>
      <c r="D140" s="57">
        <f t="shared" ref="D140:D154" si="9">A140*C140</f>
        <v>99000</v>
      </c>
      <c r="E140" s="58" t="s">
        <v>107</v>
      </c>
      <c r="F140" s="52">
        <v>66000</v>
      </c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</row>
    <row r="141" spans="1:51" x14ac:dyDescent="0.25">
      <c r="A141" s="56">
        <v>2</v>
      </c>
      <c r="B141" s="52"/>
      <c r="C141" s="52">
        <v>55000</v>
      </c>
      <c r="D141" s="57">
        <f t="shared" si="9"/>
        <v>110000</v>
      </c>
      <c r="E141" s="58" t="s">
        <v>107</v>
      </c>
      <c r="F141" s="52">
        <v>55000</v>
      </c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</row>
    <row r="142" spans="1:51" x14ac:dyDescent="0.25">
      <c r="A142" s="56">
        <v>2.5</v>
      </c>
      <c r="B142" s="52"/>
      <c r="C142" s="52">
        <v>45000</v>
      </c>
      <c r="D142" s="57">
        <f t="shared" si="9"/>
        <v>112500</v>
      </c>
      <c r="E142" s="58" t="s">
        <v>107</v>
      </c>
      <c r="F142" s="52">
        <v>45000</v>
      </c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</row>
    <row r="143" spans="1:51" x14ac:dyDescent="0.25">
      <c r="A143" s="56">
        <v>3</v>
      </c>
      <c r="B143" s="52">
        <f>R126</f>
        <v>93703.538175046531</v>
      </c>
      <c r="C143" s="52">
        <v>38000</v>
      </c>
      <c r="D143" s="57">
        <f t="shared" si="9"/>
        <v>114000</v>
      </c>
      <c r="E143" s="58" t="s">
        <v>106</v>
      </c>
      <c r="F143" s="52">
        <v>38000</v>
      </c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</row>
    <row r="144" spans="1:51" x14ac:dyDescent="0.25">
      <c r="A144" s="56">
        <v>4</v>
      </c>
      <c r="B144" s="52"/>
      <c r="C144" s="52">
        <v>29000</v>
      </c>
      <c r="D144" s="57">
        <f t="shared" si="9"/>
        <v>116000</v>
      </c>
      <c r="E144" s="58" t="s">
        <v>107</v>
      </c>
      <c r="F144" s="52">
        <v>29000</v>
      </c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</row>
    <row r="145" spans="1:23" x14ac:dyDescent="0.25">
      <c r="A145" s="56">
        <v>5</v>
      </c>
      <c r="B145" s="52"/>
      <c r="C145" s="52">
        <v>23500</v>
      </c>
      <c r="D145" s="57">
        <f t="shared" si="9"/>
        <v>117500</v>
      </c>
      <c r="E145" s="58" t="s">
        <v>107</v>
      </c>
      <c r="F145" s="52">
        <v>23500</v>
      </c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</row>
    <row r="146" spans="1:23" x14ac:dyDescent="0.25">
      <c r="A146" s="56">
        <v>7</v>
      </c>
      <c r="B146" s="52"/>
      <c r="C146" s="52">
        <v>19500</v>
      </c>
      <c r="D146" s="57">
        <f t="shared" si="9"/>
        <v>136500</v>
      </c>
      <c r="E146" s="58" t="s">
        <v>107</v>
      </c>
      <c r="F146" s="52">
        <v>19500</v>
      </c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</row>
    <row r="147" spans="1:23" x14ac:dyDescent="0.25">
      <c r="A147" s="56">
        <v>10</v>
      </c>
      <c r="B147" s="52"/>
      <c r="C147" s="52">
        <v>16000</v>
      </c>
      <c r="D147" s="57">
        <f t="shared" si="9"/>
        <v>160000</v>
      </c>
      <c r="E147" s="58" t="s">
        <v>107</v>
      </c>
      <c r="F147" s="52">
        <v>16000</v>
      </c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</row>
    <row r="148" spans="1:23" x14ac:dyDescent="0.25">
      <c r="A148" s="56">
        <v>15</v>
      </c>
      <c r="B148" s="52"/>
      <c r="C148" s="52">
        <v>11500</v>
      </c>
      <c r="D148" s="57">
        <f t="shared" si="9"/>
        <v>172500</v>
      </c>
      <c r="E148" s="58" t="s">
        <v>107</v>
      </c>
      <c r="F148" s="52">
        <v>11500</v>
      </c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</row>
    <row r="149" spans="1:23" x14ac:dyDescent="0.25">
      <c r="A149" s="56">
        <v>20</v>
      </c>
      <c r="B149" s="52"/>
      <c r="C149" s="52">
        <v>9000</v>
      </c>
      <c r="D149" s="57">
        <f t="shared" si="9"/>
        <v>180000</v>
      </c>
      <c r="E149" s="58" t="s">
        <v>107</v>
      </c>
      <c r="F149" s="52">
        <v>9000</v>
      </c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</row>
    <row r="150" spans="1:23" x14ac:dyDescent="0.25">
      <c r="A150" s="56">
        <v>25</v>
      </c>
      <c r="B150" s="52"/>
      <c r="C150" s="52">
        <v>7600</v>
      </c>
      <c r="D150" s="57">
        <f t="shared" si="9"/>
        <v>190000</v>
      </c>
      <c r="E150" s="58" t="s">
        <v>107</v>
      </c>
      <c r="F150" s="52">
        <v>7600</v>
      </c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</row>
    <row r="151" spans="1:23" x14ac:dyDescent="0.25">
      <c r="A151" s="56">
        <v>30</v>
      </c>
      <c r="B151" s="52">
        <f>R133</f>
        <v>23852.315134761575</v>
      </c>
      <c r="C151" s="52">
        <v>6800</v>
      </c>
      <c r="D151" s="57">
        <f t="shared" si="9"/>
        <v>204000</v>
      </c>
      <c r="E151" s="58" t="s">
        <v>106</v>
      </c>
      <c r="F151" s="52">
        <v>6800</v>
      </c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</row>
    <row r="152" spans="1:23" x14ac:dyDescent="0.25">
      <c r="A152" s="56">
        <v>40</v>
      </c>
      <c r="B152" s="52"/>
      <c r="C152" s="52">
        <v>5250</v>
      </c>
      <c r="D152" s="57">
        <f t="shared" si="9"/>
        <v>210000</v>
      </c>
      <c r="E152" s="58" t="s">
        <v>107</v>
      </c>
      <c r="F152" s="52">
        <v>5250</v>
      </c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</row>
    <row r="153" spans="1:23" x14ac:dyDescent="0.25">
      <c r="A153" s="56">
        <v>50</v>
      </c>
      <c r="B153" s="52"/>
      <c r="C153" s="52">
        <v>4250</v>
      </c>
      <c r="D153" s="57">
        <f t="shared" si="9"/>
        <v>212500</v>
      </c>
      <c r="E153" s="58" t="s">
        <v>107</v>
      </c>
      <c r="F153" s="52">
        <v>4250</v>
      </c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</row>
    <row r="154" spans="1:23" x14ac:dyDescent="0.25">
      <c r="A154" s="56">
        <v>100</v>
      </c>
      <c r="B154" s="52"/>
      <c r="C154" s="52">
        <v>2250</v>
      </c>
      <c r="D154" s="57">
        <f t="shared" si="9"/>
        <v>225000</v>
      </c>
      <c r="E154" s="58" t="s">
        <v>107</v>
      </c>
      <c r="F154" s="52">
        <v>2250</v>
      </c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</row>
    <row r="155" spans="1:23" x14ac:dyDescent="0.25">
      <c r="B155" s="59"/>
      <c r="C155" s="59"/>
      <c r="D155"/>
      <c r="E155"/>
      <c r="F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</row>
    <row r="156" spans="1:23" x14ac:dyDescent="0.25">
      <c r="A156" t="s">
        <v>103</v>
      </c>
      <c r="C156"/>
      <c r="D156"/>
      <c r="E156"/>
      <c r="F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</row>
    <row r="157" spans="1:23" x14ac:dyDescent="0.25">
      <c r="A157" t="s">
        <v>104</v>
      </c>
      <c r="C157"/>
      <c r="D157"/>
      <c r="E157"/>
      <c r="F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</row>
    <row r="158" spans="1:23" x14ac:dyDescent="0.25">
      <c r="A158" t="s">
        <v>105</v>
      </c>
      <c r="C158"/>
      <c r="D158"/>
      <c r="E158"/>
      <c r="F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</row>
    <row r="159" spans="1:23" x14ac:dyDescent="0.25">
      <c r="C159"/>
      <c r="D159"/>
      <c r="E159"/>
      <c r="F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</row>
    <row r="167" spans="1:51" x14ac:dyDescent="0.25">
      <c r="A167" s="49" t="s">
        <v>116</v>
      </c>
    </row>
    <row r="168" spans="1:51" x14ac:dyDescent="0.25">
      <c r="A168" s="1" t="s">
        <v>0</v>
      </c>
      <c r="B168" s="1" t="s">
        <v>1</v>
      </c>
      <c r="C168" s="23" t="s">
        <v>2</v>
      </c>
      <c r="D168" s="23"/>
      <c r="E168" s="23"/>
      <c r="F168" s="13" t="s">
        <v>3</v>
      </c>
      <c r="G168" s="1" t="s">
        <v>4</v>
      </c>
      <c r="H168" s="1" t="s">
        <v>5</v>
      </c>
      <c r="I168" s="13" t="s">
        <v>6</v>
      </c>
      <c r="J168" s="13" t="s">
        <v>7</v>
      </c>
      <c r="K168" s="18" t="s">
        <v>8</v>
      </c>
      <c r="L168" s="13" t="s">
        <v>9</v>
      </c>
      <c r="M168" s="13" t="s">
        <v>10</v>
      </c>
      <c r="N168" s="13" t="s">
        <v>11</v>
      </c>
      <c r="O168" s="28" t="s">
        <v>12</v>
      </c>
      <c r="P168" s="32" t="s">
        <v>13</v>
      </c>
      <c r="Q168" s="37" t="s">
        <v>14</v>
      </c>
      <c r="R168" s="37" t="s">
        <v>15</v>
      </c>
      <c r="S168" s="13" t="s">
        <v>16</v>
      </c>
      <c r="T168" s="13" t="s">
        <v>17</v>
      </c>
      <c r="U168" s="42" t="s">
        <v>18</v>
      </c>
      <c r="V168" s="37" t="s">
        <v>19</v>
      </c>
      <c r="W168" s="3" t="s">
        <v>20</v>
      </c>
      <c r="X168" s="1" t="s">
        <v>21</v>
      </c>
      <c r="Y168" s="1" t="s">
        <v>22</v>
      </c>
      <c r="Z168" s="1" t="s">
        <v>23</v>
      </c>
      <c r="AA168" s="1" t="s">
        <v>24</v>
      </c>
      <c r="AB168" s="1" t="s">
        <v>25</v>
      </c>
      <c r="AC168" s="1" t="s">
        <v>26</v>
      </c>
      <c r="AD168" s="1" t="s">
        <v>27</v>
      </c>
      <c r="AE168" s="1" t="s">
        <v>28</v>
      </c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</row>
    <row r="169" spans="1:51" x14ac:dyDescent="0.25">
      <c r="A169" t="s">
        <v>65</v>
      </c>
      <c r="B169" t="s">
        <v>66</v>
      </c>
      <c r="C169" s="24">
        <v>43794</v>
      </c>
      <c r="D169" s="48">
        <v>4.4999999999999997E-3</v>
      </c>
      <c r="E169" s="24">
        <v>44652</v>
      </c>
      <c r="F169" s="14">
        <v>2750000</v>
      </c>
      <c r="G169" t="s">
        <v>29</v>
      </c>
      <c r="H169" t="s">
        <v>30</v>
      </c>
      <c r="I169" s="14">
        <f>((DATEDIF(C169,E169, "m")*D169)+1)*F169</f>
        <v>3096499.9999999995</v>
      </c>
      <c r="J169" s="14">
        <v>1617400</v>
      </c>
      <c r="K169" s="19">
        <f>J169/I169*100</f>
        <v>52.23316647828193</v>
      </c>
      <c r="L169" s="14">
        <v>3234848</v>
      </c>
      <c r="M169" s="14">
        <f>I169-2971248</f>
        <v>125251.99999999953</v>
      </c>
      <c r="N169" s="14">
        <v>263600</v>
      </c>
      <c r="O169" s="29">
        <v>0</v>
      </c>
      <c r="P169" s="33">
        <v>0</v>
      </c>
      <c r="Q169" s="38">
        <v>2.12</v>
      </c>
      <c r="R169" s="38">
        <v>2.12</v>
      </c>
      <c r="S169" s="14" t="e">
        <f>M169/O169</f>
        <v>#DIV/0!</v>
      </c>
      <c r="T169" s="14">
        <f>M169/Q169</f>
        <v>59081.132075471476</v>
      </c>
      <c r="U169" s="43">
        <f>M169/Q169/43560</f>
        <v>1.3563161633487484</v>
      </c>
      <c r="V169" s="38">
        <v>0</v>
      </c>
      <c r="W169" s="5" t="s">
        <v>34</v>
      </c>
      <c r="X169" t="s">
        <v>67</v>
      </c>
      <c r="Z169" t="s">
        <v>35</v>
      </c>
      <c r="AA169">
        <v>0</v>
      </c>
      <c r="AB169">
        <v>1</v>
      </c>
      <c r="AC169" t="s">
        <v>32</v>
      </c>
      <c r="AE169" s="6" t="s">
        <v>36</v>
      </c>
    </row>
    <row r="170" spans="1:51" x14ac:dyDescent="0.25">
      <c r="A170" t="s">
        <v>71</v>
      </c>
      <c r="B170" t="s">
        <v>72</v>
      </c>
      <c r="C170" s="24">
        <v>43671</v>
      </c>
      <c r="D170" s="48">
        <v>4.4999999999999997E-3</v>
      </c>
      <c r="E170" s="24">
        <v>44652</v>
      </c>
      <c r="F170" s="14">
        <v>3700000</v>
      </c>
      <c r="G170" t="s">
        <v>29</v>
      </c>
      <c r="H170" t="s">
        <v>30</v>
      </c>
      <c r="I170" s="14">
        <f>((DATEDIF(C170,E170, "m")*D170)+1)*F170</f>
        <v>4232800</v>
      </c>
      <c r="J170" s="14">
        <v>1322000</v>
      </c>
      <c r="K170" s="19">
        <f>J170/I170*100</f>
        <v>31.232281232281235</v>
      </c>
      <c r="L170" s="14">
        <v>2643943</v>
      </c>
      <c r="M170" s="14">
        <f>I170-2358493</f>
        <v>1874307</v>
      </c>
      <c r="N170" s="14">
        <v>285450</v>
      </c>
      <c r="O170" s="29">
        <v>0</v>
      </c>
      <c r="P170" s="33">
        <v>0</v>
      </c>
      <c r="Q170" s="38">
        <v>3.05</v>
      </c>
      <c r="R170" s="38">
        <v>3.05</v>
      </c>
      <c r="S170" s="14" t="e">
        <f>M170/O170</f>
        <v>#DIV/0!</v>
      </c>
      <c r="T170" s="14">
        <f>M170/Q170</f>
        <v>614526.88524590165</v>
      </c>
      <c r="U170" s="43">
        <f>M170/Q170/43560</f>
        <v>14.10759608002529</v>
      </c>
      <c r="V170" s="38">
        <v>0</v>
      </c>
      <c r="W170" s="5" t="s">
        <v>34</v>
      </c>
      <c r="X170" t="s">
        <v>73</v>
      </c>
      <c r="Z170" t="s">
        <v>35</v>
      </c>
      <c r="AA170">
        <v>0</v>
      </c>
      <c r="AB170">
        <v>1</v>
      </c>
      <c r="AC170" t="s">
        <v>32</v>
      </c>
      <c r="AE170" s="6" t="s">
        <v>36</v>
      </c>
    </row>
    <row r="171" spans="1:51" x14ac:dyDescent="0.25">
      <c r="A171" t="s">
        <v>68</v>
      </c>
      <c r="B171" t="s">
        <v>69</v>
      </c>
      <c r="C171" s="24">
        <v>43073</v>
      </c>
      <c r="D171" s="48">
        <v>4.4999999999999997E-3</v>
      </c>
      <c r="E171" s="24">
        <v>44652</v>
      </c>
      <c r="F171" s="14">
        <v>1900000</v>
      </c>
      <c r="G171" t="s">
        <v>29</v>
      </c>
      <c r="H171" t="s">
        <v>30</v>
      </c>
      <c r="I171" s="14">
        <f>((DATEDIF(C171,E171, "m")*D171)+1)*F171</f>
        <v>2336050</v>
      </c>
      <c r="J171" s="14">
        <v>972000</v>
      </c>
      <c r="K171" s="19">
        <f>J171/I171*100</f>
        <v>41.608698443954538</v>
      </c>
      <c r="L171" s="14">
        <v>1944037</v>
      </c>
      <c r="M171" s="14">
        <f>I171-1655167</f>
        <v>680883</v>
      </c>
      <c r="N171" s="14">
        <v>288870</v>
      </c>
      <c r="O171" s="29">
        <v>0</v>
      </c>
      <c r="P171" s="33">
        <v>0</v>
      </c>
      <c r="Q171" s="38">
        <v>3.43</v>
      </c>
      <c r="R171" s="38">
        <v>3.43</v>
      </c>
      <c r="S171" s="14" t="e">
        <f>M171/O171</f>
        <v>#DIV/0!</v>
      </c>
      <c r="T171" s="14">
        <f>M171/Q171</f>
        <v>198508.16326530612</v>
      </c>
      <c r="U171" s="43">
        <f>M171/Q171/43560</f>
        <v>4.5571203688086808</v>
      </c>
      <c r="V171" s="38">
        <v>0</v>
      </c>
      <c r="W171" s="5" t="s">
        <v>34</v>
      </c>
      <c r="X171" t="s">
        <v>70</v>
      </c>
      <c r="Z171" t="s">
        <v>35</v>
      </c>
      <c r="AA171">
        <v>0</v>
      </c>
      <c r="AB171">
        <v>1</v>
      </c>
      <c r="AC171" t="s">
        <v>32</v>
      </c>
      <c r="AE171" s="6" t="s">
        <v>36</v>
      </c>
    </row>
    <row r="172" spans="1:51" ht="15.75" thickBot="1" x14ac:dyDescent="0.3">
      <c r="A172" t="s">
        <v>74</v>
      </c>
      <c r="B172" t="s">
        <v>75</v>
      </c>
      <c r="C172" s="24">
        <v>43754</v>
      </c>
      <c r="D172" s="48">
        <v>4.4999999999999997E-3</v>
      </c>
      <c r="E172" s="24">
        <v>44652</v>
      </c>
      <c r="F172" s="14">
        <v>2600000</v>
      </c>
      <c r="G172" t="s">
        <v>29</v>
      </c>
      <c r="H172" t="s">
        <v>30</v>
      </c>
      <c r="I172" s="14">
        <f>((DATEDIF(C172,E172, "m")*D172)+1)*F172</f>
        <v>2939300</v>
      </c>
      <c r="J172" s="14">
        <v>1300100</v>
      </c>
      <c r="K172" s="19">
        <f>J172/I172*100</f>
        <v>44.231619773415439</v>
      </c>
      <c r="L172" s="14">
        <v>2600211</v>
      </c>
      <c r="M172" s="14">
        <f>I172-2274591</f>
        <v>664709</v>
      </c>
      <c r="N172" s="14">
        <v>325620</v>
      </c>
      <c r="O172" s="29">
        <v>0</v>
      </c>
      <c r="P172" s="33">
        <v>0</v>
      </c>
      <c r="Q172" s="38">
        <v>5.31</v>
      </c>
      <c r="R172" s="38">
        <v>5.31</v>
      </c>
      <c r="S172" s="14" t="e">
        <f>M172/O172</f>
        <v>#DIV/0!</v>
      </c>
      <c r="T172" s="14">
        <f>M172/Q172</f>
        <v>125180.60263653485</v>
      </c>
      <c r="U172" s="43">
        <f>M172/Q172/43560</f>
        <v>2.8737512083685686</v>
      </c>
      <c r="V172" s="38">
        <v>0</v>
      </c>
      <c r="W172" s="5" t="s">
        <v>34</v>
      </c>
      <c r="X172" t="s">
        <v>76</v>
      </c>
      <c r="Y172" t="s">
        <v>77</v>
      </c>
      <c r="Z172" t="s">
        <v>35</v>
      </c>
      <c r="AA172">
        <v>0</v>
      </c>
      <c r="AB172">
        <v>0</v>
      </c>
      <c r="AC172" t="s">
        <v>32</v>
      </c>
      <c r="AE172" s="6" t="s">
        <v>36</v>
      </c>
    </row>
    <row r="173" spans="1:51" ht="15.75" thickTop="1" x14ac:dyDescent="0.25">
      <c r="A173" s="7"/>
      <c r="B173" s="7"/>
      <c r="C173" s="25" t="s">
        <v>91</v>
      </c>
      <c r="D173" s="25"/>
      <c r="E173" s="25"/>
      <c r="F173" s="15">
        <f>+SUM(F169:F172)</f>
        <v>10950000</v>
      </c>
      <c r="G173" s="7"/>
      <c r="H173" s="7"/>
      <c r="I173" s="15">
        <f>+SUM(I169:I172)</f>
        <v>12604650</v>
      </c>
      <c r="J173" s="15">
        <f>+SUM(J169:J172)</f>
        <v>5211500</v>
      </c>
      <c r="K173" s="20"/>
      <c r="L173" s="15">
        <f>+SUM(L169:L172)</f>
        <v>10423039</v>
      </c>
      <c r="M173" s="15">
        <f>+SUM(M169:M172)</f>
        <v>3345150.9999999995</v>
      </c>
      <c r="N173" s="15">
        <f>+SUM(N169:N172)</f>
        <v>1163540</v>
      </c>
      <c r="O173" s="30">
        <f>+SUM(O169:O172)</f>
        <v>0</v>
      </c>
      <c r="P173" s="34"/>
      <c r="Q173" s="39">
        <f>+SUM(Q169:Q172)</f>
        <v>13.91</v>
      </c>
      <c r="R173" s="39">
        <f>+SUM(R169:R172)</f>
        <v>13.91</v>
      </c>
      <c r="S173" s="15"/>
      <c r="T173" s="15"/>
      <c r="U173" s="44"/>
      <c r="V173" s="39"/>
      <c r="W173" s="8"/>
      <c r="X173" s="7"/>
      <c r="Y173" s="7"/>
      <c r="Z173" s="7"/>
      <c r="AA173" s="7"/>
      <c r="AB173" s="7"/>
      <c r="AC173" s="7"/>
      <c r="AD173" s="7"/>
      <c r="AE173" s="7"/>
    </row>
    <row r="174" spans="1:51" x14ac:dyDescent="0.25">
      <c r="A174" s="9"/>
      <c r="B174" s="9"/>
      <c r="C174" s="26"/>
      <c r="D174" s="26"/>
      <c r="E174" s="26"/>
      <c r="F174" s="16"/>
      <c r="G174" s="9"/>
      <c r="H174" s="9"/>
      <c r="I174" s="16"/>
      <c r="J174" s="16" t="s">
        <v>92</v>
      </c>
      <c r="K174" s="21">
        <f>J173/I173*100</f>
        <v>41.345852522680119</v>
      </c>
      <c r="L174" s="16"/>
      <c r="M174" s="16"/>
      <c r="N174" s="16" t="s">
        <v>93</v>
      </c>
      <c r="O174" s="31"/>
      <c r="P174" s="35"/>
      <c r="Q174" s="40" t="s">
        <v>93</v>
      </c>
      <c r="R174" s="40"/>
      <c r="S174" s="16"/>
      <c r="T174" s="16" t="s">
        <v>93</v>
      </c>
      <c r="U174" s="45"/>
      <c r="V174" s="40"/>
      <c r="W174" s="10"/>
      <c r="X174" s="9"/>
      <c r="Y174" s="9"/>
      <c r="Z174" s="9"/>
      <c r="AA174" s="9"/>
      <c r="AB174" s="9"/>
      <c r="AC174" s="9"/>
      <c r="AD174" s="9"/>
      <c r="AE174" s="9"/>
    </row>
    <row r="175" spans="1:51" x14ac:dyDescent="0.25">
      <c r="A175" s="11"/>
      <c r="B175" s="11"/>
      <c r="C175" s="27"/>
      <c r="D175" s="27"/>
      <c r="E175" s="27"/>
      <c r="F175" s="17"/>
      <c r="G175" s="11"/>
      <c r="H175" s="11"/>
      <c r="I175" s="17"/>
      <c r="J175" s="17" t="s">
        <v>94</v>
      </c>
      <c r="K175" s="22">
        <f>STDEV(K169:K172)</f>
        <v>8.6673419837368009</v>
      </c>
      <c r="L175" s="17"/>
      <c r="M175" s="17"/>
      <c r="N175" s="17" t="s">
        <v>95</v>
      </c>
      <c r="O175" s="47" t="e">
        <f>M173/O173</f>
        <v>#DIV/0!</v>
      </c>
      <c r="P175" s="36"/>
      <c r="Q175" s="41" t="s">
        <v>96</v>
      </c>
      <c r="R175" s="41">
        <f>M173/Q173</f>
        <v>240485.33429187632</v>
      </c>
      <c r="S175" s="17"/>
      <c r="T175" s="17" t="s">
        <v>97</v>
      </c>
      <c r="U175" s="46">
        <f>M173/Q173/43560</f>
        <v>5.5207836155159855</v>
      </c>
      <c r="V175" s="41"/>
      <c r="W175" s="12"/>
      <c r="X175" s="11"/>
      <c r="Y175" s="11"/>
      <c r="Z175" s="11"/>
      <c r="AA175" s="11"/>
      <c r="AB175" s="11"/>
      <c r="AC175" s="11"/>
      <c r="AD175" s="11"/>
      <c r="AE175" s="11"/>
    </row>
    <row r="178" spans="1:51" hidden="1" x14ac:dyDescent="0.25">
      <c r="A178" s="1" t="s">
        <v>0</v>
      </c>
      <c r="B178" s="1" t="s">
        <v>1</v>
      </c>
      <c r="C178" s="23" t="s">
        <v>2</v>
      </c>
      <c r="D178" s="23"/>
      <c r="E178" s="23"/>
      <c r="F178" s="13" t="s">
        <v>3</v>
      </c>
      <c r="G178" s="1" t="s">
        <v>4</v>
      </c>
      <c r="H178" s="1" t="s">
        <v>5</v>
      </c>
      <c r="I178" s="13" t="s">
        <v>6</v>
      </c>
      <c r="J178" s="13" t="s">
        <v>7</v>
      </c>
      <c r="K178" s="18" t="s">
        <v>8</v>
      </c>
      <c r="L178" s="13" t="s">
        <v>9</v>
      </c>
      <c r="M178" s="13" t="s">
        <v>10</v>
      </c>
      <c r="N178" s="13" t="s">
        <v>11</v>
      </c>
      <c r="O178" s="28" t="s">
        <v>12</v>
      </c>
      <c r="P178" s="32" t="s">
        <v>13</v>
      </c>
      <c r="Q178" s="37" t="s">
        <v>14</v>
      </c>
      <c r="R178" s="37" t="s">
        <v>15</v>
      </c>
      <c r="S178" s="13" t="s">
        <v>16</v>
      </c>
      <c r="T178" s="13" t="s">
        <v>17</v>
      </c>
      <c r="U178" s="42" t="s">
        <v>18</v>
      </c>
      <c r="V178" s="37" t="s">
        <v>19</v>
      </c>
      <c r="W178" s="3" t="s">
        <v>20</v>
      </c>
      <c r="X178" s="1" t="s">
        <v>21</v>
      </c>
      <c r="Y178" s="1" t="s">
        <v>22</v>
      </c>
      <c r="Z178" s="1" t="s">
        <v>23</v>
      </c>
      <c r="AA178" s="1" t="s">
        <v>24</v>
      </c>
      <c r="AB178" s="1" t="s">
        <v>25</v>
      </c>
      <c r="AC178" s="1" t="s">
        <v>26</v>
      </c>
      <c r="AD178" s="1" t="s">
        <v>27</v>
      </c>
      <c r="AE178" s="1" t="s">
        <v>28</v>
      </c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</row>
    <row r="179" spans="1:51" ht="15.75" hidden="1" thickBot="1" x14ac:dyDescent="0.3">
      <c r="A179" t="s">
        <v>65</v>
      </c>
      <c r="B179" t="s">
        <v>66</v>
      </c>
      <c r="C179" s="24">
        <v>43794</v>
      </c>
      <c r="D179" s="48">
        <v>4.4999999999999997E-3</v>
      </c>
      <c r="E179" s="24">
        <v>44652</v>
      </c>
      <c r="F179" s="14">
        <v>2750000</v>
      </c>
      <c r="G179" t="s">
        <v>29</v>
      </c>
      <c r="H179" t="s">
        <v>30</v>
      </c>
      <c r="I179" s="14">
        <f>((DATEDIF(C179,E179, "m")*D179)+1)*F179</f>
        <v>3096499.9999999995</v>
      </c>
      <c r="J179" s="14">
        <v>1617400</v>
      </c>
      <c r="K179" s="19">
        <f>J179/I179*100</f>
        <v>52.23316647828193</v>
      </c>
      <c r="L179" s="14">
        <v>3234848</v>
      </c>
      <c r="M179" s="14">
        <f>I179-2971248</f>
        <v>125251.99999999953</v>
      </c>
      <c r="N179" s="14">
        <v>263600</v>
      </c>
      <c r="O179" s="29">
        <v>0</v>
      </c>
      <c r="P179" s="33">
        <v>0</v>
      </c>
      <c r="Q179" s="38">
        <v>2.12</v>
      </c>
      <c r="R179" s="38">
        <v>2.12</v>
      </c>
      <c r="S179" s="14" t="e">
        <f>M179/O179</f>
        <v>#DIV/0!</v>
      </c>
      <c r="T179" s="14">
        <f>M179/Q179</f>
        <v>59081.132075471476</v>
      </c>
      <c r="U179" s="43">
        <f>M179/Q179/43560</f>
        <v>1.3563161633487484</v>
      </c>
      <c r="V179" s="38">
        <v>0</v>
      </c>
      <c r="W179" s="5" t="s">
        <v>34</v>
      </c>
      <c r="X179" t="s">
        <v>67</v>
      </c>
      <c r="Z179" t="s">
        <v>35</v>
      </c>
      <c r="AA179">
        <v>0</v>
      </c>
      <c r="AB179">
        <v>1</v>
      </c>
      <c r="AC179" t="s">
        <v>32</v>
      </c>
      <c r="AE179" s="6" t="s">
        <v>36</v>
      </c>
    </row>
    <row r="180" spans="1:51" ht="15.75" hidden="1" thickTop="1" x14ac:dyDescent="0.25">
      <c r="A180" s="7"/>
      <c r="B180" s="7"/>
      <c r="C180" s="25" t="s">
        <v>91</v>
      </c>
      <c r="D180" s="25"/>
      <c r="E180" s="25"/>
      <c r="F180" s="15">
        <f>+SUM(F179:F179)</f>
        <v>2750000</v>
      </c>
      <c r="G180" s="7"/>
      <c r="H180" s="7"/>
      <c r="I180" s="15">
        <f>+SUM(I179:I179)</f>
        <v>3096499.9999999995</v>
      </c>
      <c r="J180" s="15">
        <f>+SUM(J179:J179)</f>
        <v>1617400</v>
      </c>
      <c r="K180" s="20"/>
      <c r="L180" s="15">
        <f>+SUM(L179:L179)</f>
        <v>3234848</v>
      </c>
      <c r="M180" s="15">
        <f>+SUM(M179:M179)</f>
        <v>125251.99999999953</v>
      </c>
      <c r="N180" s="15">
        <f>+SUM(N179:N179)</f>
        <v>263600</v>
      </c>
      <c r="O180" s="30">
        <f>+SUM(O179:O179)</f>
        <v>0</v>
      </c>
      <c r="P180" s="34"/>
      <c r="Q180" s="39">
        <f>+SUM(Q179:Q179)</f>
        <v>2.12</v>
      </c>
      <c r="R180" s="39">
        <f>+SUM(R179:R179)</f>
        <v>2.12</v>
      </c>
      <c r="S180" s="15"/>
      <c r="T180" s="15"/>
      <c r="U180" s="44"/>
      <c r="V180" s="39"/>
      <c r="W180" s="8"/>
      <c r="X180" s="7"/>
      <c r="Y180" s="7"/>
      <c r="Z180" s="7"/>
      <c r="AA180" s="7"/>
      <c r="AB180" s="7"/>
      <c r="AC180" s="7"/>
      <c r="AD180" s="7"/>
      <c r="AE180" s="7"/>
    </row>
    <row r="181" spans="1:51" hidden="1" x14ac:dyDescent="0.25">
      <c r="A181" s="9"/>
      <c r="B181" s="9"/>
      <c r="C181" s="26"/>
      <c r="D181" s="26"/>
      <c r="E181" s="26"/>
      <c r="F181" s="16"/>
      <c r="G181" s="9"/>
      <c r="H181" s="9"/>
      <c r="I181" s="16"/>
      <c r="J181" s="16" t="s">
        <v>92</v>
      </c>
      <c r="K181" s="21">
        <f>J180/I180*100</f>
        <v>52.23316647828193</v>
      </c>
      <c r="L181" s="16"/>
      <c r="M181" s="16"/>
      <c r="N181" s="16" t="s">
        <v>93</v>
      </c>
      <c r="O181" s="31"/>
      <c r="P181" s="35"/>
      <c r="Q181" s="40" t="s">
        <v>93</v>
      </c>
      <c r="R181" s="40"/>
      <c r="S181" s="16"/>
      <c r="T181" s="16" t="s">
        <v>93</v>
      </c>
      <c r="U181" s="45"/>
      <c r="V181" s="40"/>
      <c r="W181" s="10"/>
      <c r="X181" s="9"/>
      <c r="Y181" s="9"/>
      <c r="Z181" s="9"/>
      <c r="AA181" s="9"/>
      <c r="AB181" s="9"/>
      <c r="AC181" s="9"/>
      <c r="AD181" s="9"/>
      <c r="AE181" s="9"/>
    </row>
    <row r="182" spans="1:51" hidden="1" x14ac:dyDescent="0.25">
      <c r="A182" s="11"/>
      <c r="B182" s="11"/>
      <c r="C182" s="27"/>
      <c r="D182" s="27"/>
      <c r="E182" s="27"/>
      <c r="F182" s="17"/>
      <c r="G182" s="11"/>
      <c r="H182" s="11"/>
      <c r="I182" s="17"/>
      <c r="J182" s="17" t="s">
        <v>94</v>
      </c>
      <c r="K182" s="22" t="e">
        <f>STDEV(K179:K179)</f>
        <v>#DIV/0!</v>
      </c>
      <c r="L182" s="17"/>
      <c r="M182" s="17"/>
      <c r="N182" s="17" t="s">
        <v>95</v>
      </c>
      <c r="O182" s="47" t="e">
        <f>M180/O180</f>
        <v>#DIV/0!</v>
      </c>
      <c r="P182" s="36"/>
      <c r="Q182" s="41" t="s">
        <v>96</v>
      </c>
      <c r="R182" s="41">
        <f>M180/Q180</f>
        <v>59081.132075471476</v>
      </c>
      <c r="S182" s="17"/>
      <c r="T182" s="17" t="s">
        <v>97</v>
      </c>
      <c r="U182" s="46">
        <f>M180/Q180/43560</f>
        <v>1.3563161633487484</v>
      </c>
      <c r="V182" s="41"/>
      <c r="W182" s="12"/>
      <c r="X182" s="11"/>
      <c r="Y182" s="11"/>
      <c r="Z182" s="11"/>
      <c r="AA182" s="11"/>
      <c r="AB182" s="11"/>
      <c r="AC182" s="11"/>
      <c r="AD182" s="11"/>
      <c r="AE182" s="11"/>
    </row>
    <row r="183" spans="1:51" hidden="1" x14ac:dyDescent="0.25"/>
    <row r="184" spans="1:51" hidden="1" x14ac:dyDescent="0.25"/>
    <row r="185" spans="1:51" hidden="1" x14ac:dyDescent="0.25">
      <c r="A185" s="1" t="s">
        <v>0</v>
      </c>
      <c r="B185" s="1" t="s">
        <v>1</v>
      </c>
      <c r="C185" s="23" t="s">
        <v>2</v>
      </c>
      <c r="D185" s="23"/>
      <c r="E185" s="23"/>
      <c r="F185" s="13" t="s">
        <v>3</v>
      </c>
      <c r="G185" s="1" t="s">
        <v>4</v>
      </c>
      <c r="H185" s="1" t="s">
        <v>5</v>
      </c>
      <c r="I185" s="13" t="s">
        <v>6</v>
      </c>
      <c r="J185" s="13" t="s">
        <v>7</v>
      </c>
      <c r="K185" s="18" t="s">
        <v>8</v>
      </c>
      <c r="L185" s="13" t="s">
        <v>9</v>
      </c>
      <c r="M185" s="13" t="s">
        <v>10</v>
      </c>
      <c r="N185" s="13" t="s">
        <v>11</v>
      </c>
      <c r="O185" s="28" t="s">
        <v>12</v>
      </c>
      <c r="P185" s="32" t="s">
        <v>13</v>
      </c>
      <c r="Q185" s="37" t="s">
        <v>14</v>
      </c>
      <c r="R185" s="37" t="s">
        <v>15</v>
      </c>
      <c r="S185" s="13" t="s">
        <v>16</v>
      </c>
      <c r="T185" s="13" t="s">
        <v>17</v>
      </c>
      <c r="U185" s="42" t="s">
        <v>18</v>
      </c>
      <c r="V185" s="37" t="s">
        <v>19</v>
      </c>
      <c r="W185" s="3" t="s">
        <v>20</v>
      </c>
      <c r="X185" s="1" t="s">
        <v>21</v>
      </c>
      <c r="Y185" s="1" t="s">
        <v>22</v>
      </c>
      <c r="Z185" s="1" t="s">
        <v>23</v>
      </c>
      <c r="AA185" s="1" t="s">
        <v>24</v>
      </c>
      <c r="AB185" s="1" t="s">
        <v>25</v>
      </c>
      <c r="AC185" s="1" t="s">
        <v>26</v>
      </c>
      <c r="AD185" s="1" t="s">
        <v>27</v>
      </c>
      <c r="AE185" s="1" t="s">
        <v>28</v>
      </c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</row>
    <row r="186" spans="1:51" hidden="1" x14ac:dyDescent="0.25">
      <c r="A186" t="s">
        <v>71</v>
      </c>
      <c r="B186" t="s">
        <v>72</v>
      </c>
      <c r="C186" s="24">
        <v>43671</v>
      </c>
      <c r="D186" s="48">
        <v>4.4999999999999997E-3</v>
      </c>
      <c r="E186" s="24">
        <v>44652</v>
      </c>
      <c r="F186" s="14">
        <v>3700000</v>
      </c>
      <c r="G186" t="s">
        <v>29</v>
      </c>
      <c r="H186" t="s">
        <v>30</v>
      </c>
      <c r="I186" s="14">
        <f>((DATEDIF(C186,E186, "m")*D186)+1)*F186</f>
        <v>4232800</v>
      </c>
      <c r="J186" s="14">
        <v>1322000</v>
      </c>
      <c r="K186" s="19">
        <f>J186/I186*100</f>
        <v>31.232281232281235</v>
      </c>
      <c r="L186" s="14">
        <v>2643943</v>
      </c>
      <c r="M186" s="14">
        <f>I186-2358493</f>
        <v>1874307</v>
      </c>
      <c r="N186" s="14">
        <v>285450</v>
      </c>
      <c r="O186" s="29">
        <v>0</v>
      </c>
      <c r="P186" s="33">
        <v>0</v>
      </c>
      <c r="Q186" s="38">
        <v>3.05</v>
      </c>
      <c r="R186" s="38">
        <v>3.05</v>
      </c>
      <c r="S186" s="14" t="e">
        <f>M186/O186</f>
        <v>#DIV/0!</v>
      </c>
      <c r="T186" s="14">
        <f>M186/Q186</f>
        <v>614526.88524590165</v>
      </c>
      <c r="U186" s="43">
        <f>M186/Q186/43560</f>
        <v>14.10759608002529</v>
      </c>
      <c r="V186" s="38">
        <v>0</v>
      </c>
      <c r="W186" s="5" t="s">
        <v>34</v>
      </c>
      <c r="X186" t="s">
        <v>73</v>
      </c>
      <c r="Z186" t="s">
        <v>35</v>
      </c>
      <c r="AA186">
        <v>0</v>
      </c>
      <c r="AB186">
        <v>1</v>
      </c>
      <c r="AC186" t="s">
        <v>32</v>
      </c>
      <c r="AE186" s="6" t="s">
        <v>36</v>
      </c>
    </row>
    <row r="187" spans="1:51" ht="15.75" hidden="1" thickBot="1" x14ac:dyDescent="0.3">
      <c r="A187" t="s">
        <v>68</v>
      </c>
      <c r="B187" t="s">
        <v>69</v>
      </c>
      <c r="C187" s="24">
        <v>43073</v>
      </c>
      <c r="D187" s="48">
        <v>4.4999999999999997E-3</v>
      </c>
      <c r="E187" s="24">
        <v>44652</v>
      </c>
      <c r="F187" s="14">
        <v>1900000</v>
      </c>
      <c r="G187" t="s">
        <v>29</v>
      </c>
      <c r="H187" t="s">
        <v>30</v>
      </c>
      <c r="I187" s="14">
        <f>((DATEDIF(C187,E187, "m")*D187)+1)*F187</f>
        <v>2336050</v>
      </c>
      <c r="J187" s="14">
        <v>972000</v>
      </c>
      <c r="K187" s="19">
        <f>J187/I187*100</f>
        <v>41.608698443954538</v>
      </c>
      <c r="L187" s="14">
        <v>1944037</v>
      </c>
      <c r="M187" s="14">
        <f>I187-1655167</f>
        <v>680883</v>
      </c>
      <c r="N187" s="14">
        <v>288870</v>
      </c>
      <c r="O187" s="29">
        <v>0</v>
      </c>
      <c r="P187" s="33">
        <v>0</v>
      </c>
      <c r="Q187" s="38">
        <v>3.43</v>
      </c>
      <c r="R187" s="38">
        <v>3.43</v>
      </c>
      <c r="S187" s="14" t="e">
        <f>M187/O187</f>
        <v>#DIV/0!</v>
      </c>
      <c r="T187" s="14">
        <f>M187/Q187</f>
        <v>198508.16326530612</v>
      </c>
      <c r="U187" s="43">
        <f>M187/Q187/43560</f>
        <v>4.5571203688086808</v>
      </c>
      <c r="V187" s="38">
        <v>0</v>
      </c>
      <c r="W187" s="5" t="s">
        <v>34</v>
      </c>
      <c r="X187" t="s">
        <v>70</v>
      </c>
      <c r="Z187" t="s">
        <v>35</v>
      </c>
      <c r="AA187">
        <v>0</v>
      </c>
      <c r="AB187">
        <v>1</v>
      </c>
      <c r="AC187" t="s">
        <v>32</v>
      </c>
      <c r="AE187" s="6" t="s">
        <v>36</v>
      </c>
    </row>
    <row r="188" spans="1:51" ht="15.75" hidden="1" thickTop="1" x14ac:dyDescent="0.25">
      <c r="A188" s="7"/>
      <c r="B188" s="7"/>
      <c r="C188" s="25" t="s">
        <v>91</v>
      </c>
      <c r="D188" s="25"/>
      <c r="E188" s="25"/>
      <c r="F188" s="15">
        <f>+SUM(F186:F187)</f>
        <v>5600000</v>
      </c>
      <c r="G188" s="7"/>
      <c r="H188" s="7"/>
      <c r="I188" s="15">
        <f>+SUM(I186:I187)</f>
        <v>6568850</v>
      </c>
      <c r="J188" s="15">
        <f>+SUM(J186:J187)</f>
        <v>2294000</v>
      </c>
      <c r="K188" s="20"/>
      <c r="L188" s="15">
        <f>+SUM(L186:L187)</f>
        <v>4587980</v>
      </c>
      <c r="M188" s="15">
        <f>+SUM(M186:M187)</f>
        <v>2555190</v>
      </c>
      <c r="N188" s="15">
        <f>+SUM(N186:N187)</f>
        <v>574320</v>
      </c>
      <c r="O188" s="30">
        <f>+SUM(O186:O187)</f>
        <v>0</v>
      </c>
      <c r="P188" s="34"/>
      <c r="Q188" s="39">
        <f>+SUM(Q186:Q187)</f>
        <v>6.48</v>
      </c>
      <c r="R188" s="39">
        <f>+SUM(R186:R187)</f>
        <v>6.48</v>
      </c>
      <c r="S188" s="15"/>
      <c r="T188" s="15"/>
      <c r="U188" s="44"/>
      <c r="V188" s="39"/>
      <c r="W188" s="8"/>
      <c r="X188" s="7"/>
      <c r="Y188" s="7"/>
      <c r="Z188" s="7"/>
      <c r="AA188" s="7"/>
      <c r="AB188" s="7"/>
      <c r="AC188" s="7"/>
      <c r="AD188" s="7"/>
      <c r="AE188" s="7"/>
    </row>
    <row r="189" spans="1:51" hidden="1" x14ac:dyDescent="0.25">
      <c r="A189" s="9"/>
      <c r="B189" s="9"/>
      <c r="C189" s="26"/>
      <c r="D189" s="26"/>
      <c r="E189" s="26"/>
      <c r="F189" s="16"/>
      <c r="G189" s="9"/>
      <c r="H189" s="9"/>
      <c r="I189" s="16"/>
      <c r="J189" s="16" t="s">
        <v>92</v>
      </c>
      <c r="K189" s="21">
        <f>J188/I188*100</f>
        <v>34.922398897828387</v>
      </c>
      <c r="L189" s="16"/>
      <c r="M189" s="16"/>
      <c r="N189" s="16" t="s">
        <v>93</v>
      </c>
      <c r="O189" s="31"/>
      <c r="P189" s="35"/>
      <c r="Q189" s="40" t="s">
        <v>93</v>
      </c>
      <c r="R189" s="40"/>
      <c r="S189" s="16"/>
      <c r="T189" s="16" t="s">
        <v>93</v>
      </c>
      <c r="U189" s="45"/>
      <c r="V189" s="40"/>
      <c r="W189" s="10"/>
      <c r="X189" s="9"/>
      <c r="Y189" s="9"/>
      <c r="Z189" s="9"/>
      <c r="AA189" s="9"/>
      <c r="AB189" s="9"/>
      <c r="AC189" s="9"/>
      <c r="AD189" s="9"/>
      <c r="AE189" s="9"/>
    </row>
    <row r="190" spans="1:51" hidden="1" x14ac:dyDescent="0.25">
      <c r="A190" s="11"/>
      <c r="B190" s="11"/>
      <c r="C190" s="27"/>
      <c r="D190" s="27"/>
      <c r="E190" s="27"/>
      <c r="F190" s="17"/>
      <c r="G190" s="11"/>
      <c r="H190" s="11"/>
      <c r="I190" s="17"/>
      <c r="J190" s="17" t="s">
        <v>94</v>
      </c>
      <c r="K190" s="22">
        <f>STDEV(K186:K187)</f>
        <v>7.3372349747949803</v>
      </c>
      <c r="L190" s="17"/>
      <c r="M190" s="17"/>
      <c r="N190" s="17" t="s">
        <v>95</v>
      </c>
      <c r="O190" s="47" t="e">
        <f>M188/O188</f>
        <v>#DIV/0!</v>
      </c>
      <c r="P190" s="36"/>
      <c r="Q190" s="41" t="s">
        <v>96</v>
      </c>
      <c r="R190" s="41">
        <f>M188/Q188</f>
        <v>394319.44444444444</v>
      </c>
      <c r="S190" s="17"/>
      <c r="T190" s="17" t="s">
        <v>97</v>
      </c>
      <c r="U190" s="46">
        <f>M188/Q188/43560</f>
        <v>9.052328843995511</v>
      </c>
      <c r="V190" s="41"/>
      <c r="W190" s="12"/>
      <c r="X190" s="11"/>
      <c r="Y190" s="11"/>
      <c r="Z190" s="11"/>
      <c r="AA190" s="11"/>
      <c r="AB190" s="11"/>
      <c r="AC190" s="11"/>
      <c r="AD190" s="11"/>
      <c r="AE190" s="11"/>
    </row>
    <row r="191" spans="1:51" hidden="1" x14ac:dyDescent="0.25"/>
    <row r="192" spans="1:51" hidden="1" x14ac:dyDescent="0.25"/>
    <row r="193" spans="1:51" hidden="1" x14ac:dyDescent="0.25">
      <c r="A193" s="1" t="s">
        <v>0</v>
      </c>
      <c r="B193" s="1" t="s">
        <v>1</v>
      </c>
      <c r="C193" s="23" t="s">
        <v>2</v>
      </c>
      <c r="D193" s="23"/>
      <c r="E193" s="23"/>
      <c r="F193" s="13" t="s">
        <v>3</v>
      </c>
      <c r="G193" s="1" t="s">
        <v>4</v>
      </c>
      <c r="H193" s="1" t="s">
        <v>5</v>
      </c>
      <c r="I193" s="13" t="s">
        <v>6</v>
      </c>
      <c r="J193" s="13" t="s">
        <v>7</v>
      </c>
      <c r="K193" s="18" t="s">
        <v>8</v>
      </c>
      <c r="L193" s="13" t="s">
        <v>9</v>
      </c>
      <c r="M193" s="13" t="s">
        <v>10</v>
      </c>
      <c r="N193" s="13" t="s">
        <v>11</v>
      </c>
      <c r="O193" s="28" t="s">
        <v>12</v>
      </c>
      <c r="P193" s="32" t="s">
        <v>13</v>
      </c>
      <c r="Q193" s="37" t="s">
        <v>14</v>
      </c>
      <c r="R193" s="37" t="s">
        <v>15</v>
      </c>
      <c r="S193" s="13" t="s">
        <v>16</v>
      </c>
      <c r="T193" s="13" t="s">
        <v>17</v>
      </c>
      <c r="U193" s="42" t="s">
        <v>18</v>
      </c>
      <c r="V193" s="37" t="s">
        <v>19</v>
      </c>
      <c r="W193" s="3" t="s">
        <v>20</v>
      </c>
      <c r="X193" s="1" t="s">
        <v>21</v>
      </c>
      <c r="Y193" s="1" t="s">
        <v>22</v>
      </c>
      <c r="Z193" s="1" t="s">
        <v>23</v>
      </c>
      <c r="AA193" s="1" t="s">
        <v>24</v>
      </c>
      <c r="AB193" s="1" t="s">
        <v>25</v>
      </c>
      <c r="AC193" s="1" t="s">
        <v>26</v>
      </c>
      <c r="AD193" s="1" t="s">
        <v>27</v>
      </c>
      <c r="AE193" s="1" t="s">
        <v>28</v>
      </c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</row>
    <row r="194" spans="1:51" ht="15.75" hidden="1" thickBot="1" x14ac:dyDescent="0.3">
      <c r="A194" t="s">
        <v>74</v>
      </c>
      <c r="B194" t="s">
        <v>75</v>
      </c>
      <c r="C194" s="24">
        <v>43754</v>
      </c>
      <c r="D194" s="48">
        <v>4.4999999999999997E-3</v>
      </c>
      <c r="E194" s="24">
        <v>44652</v>
      </c>
      <c r="F194" s="14">
        <v>2600000</v>
      </c>
      <c r="G194" t="s">
        <v>29</v>
      </c>
      <c r="H194" t="s">
        <v>30</v>
      </c>
      <c r="I194" s="14">
        <f>((DATEDIF(C194,E194, "m")*D194)+1)*F194</f>
        <v>2939300</v>
      </c>
      <c r="J194" s="14">
        <v>1300100</v>
      </c>
      <c r="K194" s="19">
        <f>J194/I194*100</f>
        <v>44.231619773415439</v>
      </c>
      <c r="L194" s="14">
        <v>2600211</v>
      </c>
      <c r="M194" s="14">
        <f>I194-2274591</f>
        <v>664709</v>
      </c>
      <c r="N194" s="14">
        <v>325620</v>
      </c>
      <c r="O194" s="29">
        <v>0</v>
      </c>
      <c r="P194" s="33">
        <v>0</v>
      </c>
      <c r="Q194" s="38">
        <v>5.31</v>
      </c>
      <c r="R194" s="38">
        <v>5.31</v>
      </c>
      <c r="S194" s="14" t="e">
        <f>M194/O194</f>
        <v>#DIV/0!</v>
      </c>
      <c r="T194" s="14">
        <f>M194/Q194</f>
        <v>125180.60263653485</v>
      </c>
      <c r="U194" s="43">
        <f>M194/Q194/43560</f>
        <v>2.8737512083685686</v>
      </c>
      <c r="V194" s="38">
        <v>0</v>
      </c>
      <c r="W194" s="5" t="s">
        <v>34</v>
      </c>
      <c r="X194" t="s">
        <v>76</v>
      </c>
      <c r="Y194" t="s">
        <v>77</v>
      </c>
      <c r="Z194" t="s">
        <v>35</v>
      </c>
      <c r="AA194">
        <v>0</v>
      </c>
      <c r="AB194">
        <v>0</v>
      </c>
      <c r="AC194" t="s">
        <v>32</v>
      </c>
      <c r="AE194" s="6" t="s">
        <v>36</v>
      </c>
    </row>
    <row r="195" spans="1:51" ht="15.75" hidden="1" thickTop="1" x14ac:dyDescent="0.25">
      <c r="A195" s="7"/>
      <c r="B195" s="7"/>
      <c r="C195" s="25" t="s">
        <v>91</v>
      </c>
      <c r="D195" s="25"/>
      <c r="E195" s="25"/>
      <c r="F195" s="15">
        <f>+SUM(F194:F194)</f>
        <v>2600000</v>
      </c>
      <c r="G195" s="7"/>
      <c r="H195" s="7"/>
      <c r="I195" s="15">
        <f>+SUM(I194:I194)</f>
        <v>2939300</v>
      </c>
      <c r="J195" s="15">
        <f>+SUM(J194:J194)</f>
        <v>1300100</v>
      </c>
      <c r="K195" s="20"/>
      <c r="L195" s="15">
        <f>+SUM(L194:L194)</f>
        <v>2600211</v>
      </c>
      <c r="M195" s="15">
        <f>+SUM(M194:M194)</f>
        <v>664709</v>
      </c>
      <c r="N195" s="15">
        <f>+SUM(N194:N194)</f>
        <v>325620</v>
      </c>
      <c r="O195" s="30">
        <f>+SUM(O194:O194)</f>
        <v>0</v>
      </c>
      <c r="P195" s="34"/>
      <c r="Q195" s="39">
        <f>+SUM(Q194:Q194)</f>
        <v>5.31</v>
      </c>
      <c r="R195" s="39">
        <f>+SUM(R194:R194)</f>
        <v>5.31</v>
      </c>
      <c r="S195" s="15"/>
      <c r="T195" s="15"/>
      <c r="U195" s="44"/>
      <c r="V195" s="39"/>
      <c r="W195" s="8"/>
      <c r="X195" s="7"/>
      <c r="Y195" s="7"/>
      <c r="Z195" s="7"/>
      <c r="AA195" s="7"/>
      <c r="AB195" s="7"/>
      <c r="AC195" s="7"/>
      <c r="AD195" s="7"/>
      <c r="AE195" s="7"/>
    </row>
    <row r="196" spans="1:51" hidden="1" x14ac:dyDescent="0.25">
      <c r="A196" s="9"/>
      <c r="B196" s="9"/>
      <c r="C196" s="26"/>
      <c r="D196" s="26"/>
      <c r="E196" s="26"/>
      <c r="F196" s="16"/>
      <c r="G196" s="9"/>
      <c r="H196" s="9"/>
      <c r="I196" s="16"/>
      <c r="J196" s="16" t="s">
        <v>92</v>
      </c>
      <c r="K196" s="21">
        <f>J195/I195*100</f>
        <v>44.231619773415439</v>
      </c>
      <c r="L196" s="16"/>
      <c r="M196" s="16"/>
      <c r="N196" s="16" t="s">
        <v>93</v>
      </c>
      <c r="O196" s="31"/>
      <c r="P196" s="35"/>
      <c r="Q196" s="40" t="s">
        <v>93</v>
      </c>
      <c r="R196" s="40"/>
      <c r="S196" s="16"/>
      <c r="T196" s="16" t="s">
        <v>93</v>
      </c>
      <c r="U196" s="45"/>
      <c r="V196" s="40"/>
      <c r="W196" s="10"/>
      <c r="X196" s="9"/>
      <c r="Y196" s="9"/>
      <c r="Z196" s="9"/>
      <c r="AA196" s="9"/>
      <c r="AB196" s="9"/>
      <c r="AC196" s="9"/>
      <c r="AD196" s="9"/>
      <c r="AE196" s="9"/>
    </row>
    <row r="197" spans="1:51" hidden="1" x14ac:dyDescent="0.25">
      <c r="A197" s="11"/>
      <c r="B197" s="11"/>
      <c r="C197" s="27"/>
      <c r="D197" s="27"/>
      <c r="E197" s="27"/>
      <c r="F197" s="17"/>
      <c r="G197" s="11"/>
      <c r="H197" s="11"/>
      <c r="I197" s="17"/>
      <c r="J197" s="17" t="s">
        <v>94</v>
      </c>
      <c r="K197" s="22" t="e">
        <f>STDEV(K194:K194)</f>
        <v>#DIV/0!</v>
      </c>
      <c r="L197" s="17"/>
      <c r="M197" s="17"/>
      <c r="N197" s="17" t="s">
        <v>95</v>
      </c>
      <c r="O197" s="47" t="e">
        <f>M195/O195</f>
        <v>#DIV/0!</v>
      </c>
      <c r="P197" s="36"/>
      <c r="Q197" s="41" t="s">
        <v>96</v>
      </c>
      <c r="R197" s="41">
        <f>M195/Q195</f>
        <v>125180.60263653485</v>
      </c>
      <c r="S197" s="17"/>
      <c r="T197" s="17" t="s">
        <v>97</v>
      </c>
      <c r="U197" s="46">
        <f>M195/Q195/43560</f>
        <v>2.8737512083685686</v>
      </c>
      <c r="V197" s="41"/>
      <c r="W197" s="12"/>
      <c r="X197" s="11"/>
      <c r="Y197" s="11"/>
      <c r="Z197" s="11"/>
      <c r="AA197" s="11"/>
      <c r="AB197" s="11"/>
      <c r="AC197" s="11"/>
      <c r="AD197" s="11"/>
      <c r="AE197" s="11"/>
    </row>
    <row r="198" spans="1:51" hidden="1" x14ac:dyDescent="0.25"/>
    <row r="200" spans="1:51" x14ac:dyDescent="0.25">
      <c r="A200" s="50" t="s">
        <v>99</v>
      </c>
      <c r="B200" s="51"/>
      <c r="C200" s="52"/>
      <c r="D200" s="53"/>
      <c r="E200"/>
      <c r="F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</row>
    <row r="201" spans="1:51" x14ac:dyDescent="0.25">
      <c r="A201" s="54" t="s">
        <v>100</v>
      </c>
      <c r="B201" s="55" t="s">
        <v>101</v>
      </c>
      <c r="C201" s="55"/>
      <c r="D201" s="55" t="s">
        <v>109</v>
      </c>
      <c r="E201"/>
      <c r="F201" s="49" t="s">
        <v>152</v>
      </c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</row>
    <row r="202" spans="1:51" x14ac:dyDescent="0.25">
      <c r="A202" s="56">
        <v>1</v>
      </c>
      <c r="B202" s="52"/>
      <c r="C202" s="52">
        <v>245000</v>
      </c>
      <c r="D202" s="57">
        <f>A202*C202</f>
        <v>245000</v>
      </c>
      <c r="E202" s="58" t="s">
        <v>107</v>
      </c>
      <c r="F202" s="52">
        <v>235000</v>
      </c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</row>
    <row r="203" spans="1:51" x14ac:dyDescent="0.25">
      <c r="A203" s="56">
        <v>1.5</v>
      </c>
      <c r="B203" s="52"/>
      <c r="C203" s="52">
        <v>170000</v>
      </c>
      <c r="D203" s="57">
        <f t="shared" ref="D203:D217" si="10">A203*C203</f>
        <v>255000</v>
      </c>
      <c r="E203" s="58" t="s">
        <v>107</v>
      </c>
      <c r="F203" s="52">
        <v>160000</v>
      </c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</row>
    <row r="204" spans="1:51" x14ac:dyDescent="0.25">
      <c r="A204" s="56">
        <v>2</v>
      </c>
      <c r="B204" s="52"/>
      <c r="C204" s="52">
        <v>130000</v>
      </c>
      <c r="D204" s="57">
        <f t="shared" si="10"/>
        <v>260000</v>
      </c>
      <c r="E204" s="58" t="s">
        <v>107</v>
      </c>
      <c r="F204" s="52">
        <v>130000</v>
      </c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</row>
    <row r="205" spans="1:51" x14ac:dyDescent="0.25">
      <c r="A205" s="56">
        <v>2.5</v>
      </c>
      <c r="B205" s="52">
        <f>R182</f>
        <v>59081.132075471476</v>
      </c>
      <c r="C205" s="52">
        <v>110000</v>
      </c>
      <c r="D205" s="57">
        <f t="shared" si="10"/>
        <v>275000</v>
      </c>
      <c r="E205" s="58" t="s">
        <v>106</v>
      </c>
      <c r="F205" s="52">
        <v>110000</v>
      </c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</row>
    <row r="206" spans="1:51" x14ac:dyDescent="0.25">
      <c r="A206" s="56">
        <v>3</v>
      </c>
      <c r="B206" s="52"/>
      <c r="C206" s="52">
        <v>92000</v>
      </c>
      <c r="D206" s="57">
        <f t="shared" si="10"/>
        <v>276000</v>
      </c>
      <c r="E206" s="58" t="s">
        <v>107</v>
      </c>
      <c r="F206" s="52">
        <v>95000</v>
      </c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</row>
    <row r="207" spans="1:51" x14ac:dyDescent="0.25">
      <c r="A207" s="56">
        <v>4</v>
      </c>
      <c r="B207" s="52">
        <f>R190</f>
        <v>394319.44444444444</v>
      </c>
      <c r="C207" s="52">
        <v>70000</v>
      </c>
      <c r="D207" s="57">
        <f t="shared" si="10"/>
        <v>280000</v>
      </c>
      <c r="E207" s="58" t="s">
        <v>106</v>
      </c>
      <c r="F207" s="52">
        <v>73500</v>
      </c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</row>
    <row r="208" spans="1:51" x14ac:dyDescent="0.25">
      <c r="A208" s="56">
        <v>5</v>
      </c>
      <c r="B208" s="52"/>
      <c r="C208" s="52">
        <v>57000</v>
      </c>
      <c r="D208" s="57">
        <f t="shared" si="10"/>
        <v>285000</v>
      </c>
      <c r="E208" s="58" t="s">
        <v>107</v>
      </c>
      <c r="F208" s="52">
        <v>65000</v>
      </c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</row>
    <row r="209" spans="1:23" x14ac:dyDescent="0.25">
      <c r="A209" s="56">
        <v>7</v>
      </c>
      <c r="B209" s="52">
        <f>R197</f>
        <v>125180.60263653485</v>
      </c>
      <c r="C209" s="52">
        <v>46000</v>
      </c>
      <c r="D209" s="57">
        <f t="shared" si="10"/>
        <v>322000</v>
      </c>
      <c r="E209" s="58" t="s">
        <v>106</v>
      </c>
      <c r="F209" s="52">
        <v>47000</v>
      </c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</row>
    <row r="210" spans="1:23" x14ac:dyDescent="0.25">
      <c r="A210" s="56">
        <v>10</v>
      </c>
      <c r="B210" s="52"/>
      <c r="C210" s="52">
        <v>35000</v>
      </c>
      <c r="D210" s="57">
        <f t="shared" si="10"/>
        <v>350000</v>
      </c>
      <c r="E210" s="58" t="s">
        <v>107</v>
      </c>
      <c r="F210" s="52">
        <v>35000</v>
      </c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3" x14ac:dyDescent="0.25">
      <c r="A211" s="56">
        <v>15</v>
      </c>
      <c r="B211" s="52"/>
      <c r="C211" s="52">
        <v>26500</v>
      </c>
      <c r="D211" s="57">
        <f t="shared" si="10"/>
        <v>397500</v>
      </c>
      <c r="E211" s="58" t="s">
        <v>107</v>
      </c>
      <c r="F211" s="52">
        <v>26500</v>
      </c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3" x14ac:dyDescent="0.25">
      <c r="A212" s="56">
        <v>20</v>
      </c>
      <c r="B212" s="52"/>
      <c r="C212" s="52">
        <v>20750</v>
      </c>
      <c r="D212" s="57">
        <f t="shared" si="10"/>
        <v>415000</v>
      </c>
      <c r="E212" s="58" t="s">
        <v>107</v>
      </c>
      <c r="F212" s="52">
        <v>20750</v>
      </c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3" x14ac:dyDescent="0.25">
      <c r="A213" s="56">
        <v>25</v>
      </c>
      <c r="B213" s="52"/>
      <c r="C213" s="52">
        <v>17000</v>
      </c>
      <c r="D213" s="57">
        <f t="shared" si="10"/>
        <v>425000</v>
      </c>
      <c r="E213" s="58" t="s">
        <v>107</v>
      </c>
      <c r="F213" s="52">
        <v>17000</v>
      </c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3" x14ac:dyDescent="0.25">
      <c r="A214" s="56">
        <v>30</v>
      </c>
      <c r="B214" s="52"/>
      <c r="C214" s="52">
        <v>15000</v>
      </c>
      <c r="D214" s="57">
        <f t="shared" si="10"/>
        <v>450000</v>
      </c>
      <c r="E214" s="58" t="s">
        <v>107</v>
      </c>
      <c r="F214" s="52">
        <v>15000</v>
      </c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3" x14ac:dyDescent="0.25">
      <c r="A215" s="56">
        <v>40</v>
      </c>
      <c r="B215" s="52"/>
      <c r="C215" s="52">
        <v>12000</v>
      </c>
      <c r="D215" s="57">
        <f t="shared" si="10"/>
        <v>480000</v>
      </c>
      <c r="E215" s="58" t="s">
        <v>107</v>
      </c>
      <c r="F215" s="52">
        <v>12000</v>
      </c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3" x14ac:dyDescent="0.25">
      <c r="A216" s="56">
        <v>50</v>
      </c>
      <c r="B216" s="52"/>
      <c r="C216" s="52">
        <v>9750</v>
      </c>
      <c r="D216" s="57">
        <f t="shared" si="10"/>
        <v>487500</v>
      </c>
      <c r="E216" s="58" t="s">
        <v>107</v>
      </c>
      <c r="F216" s="52">
        <v>9750</v>
      </c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3" x14ac:dyDescent="0.25">
      <c r="A217" s="56">
        <v>100</v>
      </c>
      <c r="B217" s="52"/>
      <c r="C217" s="52">
        <v>5000</v>
      </c>
      <c r="D217" s="57">
        <f t="shared" si="10"/>
        <v>500000</v>
      </c>
      <c r="E217" s="58" t="s">
        <v>107</v>
      </c>
      <c r="F217" s="52">
        <v>5000</v>
      </c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3" x14ac:dyDescent="0.25">
      <c r="B218" s="59"/>
      <c r="C218" s="59"/>
      <c r="D218"/>
      <c r="E218"/>
      <c r="F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3" x14ac:dyDescent="0.25">
      <c r="A219" t="s">
        <v>103</v>
      </c>
      <c r="C219"/>
      <c r="D219"/>
      <c r="E219"/>
      <c r="F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3" x14ac:dyDescent="0.25">
      <c r="A220" t="s">
        <v>104</v>
      </c>
      <c r="C220"/>
      <c r="D220"/>
      <c r="E220"/>
      <c r="F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3" x14ac:dyDescent="0.25">
      <c r="A221" t="s">
        <v>105</v>
      </c>
      <c r="C221"/>
      <c r="D221"/>
      <c r="E221"/>
      <c r="F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3" x14ac:dyDescent="0.25">
      <c r="C222"/>
      <c r="D222"/>
      <c r="E222"/>
      <c r="F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3" x14ac:dyDescent="0.25">
      <c r="C223"/>
      <c r="D223"/>
      <c r="E223"/>
      <c r="F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3" x14ac:dyDescent="0.25">
      <c r="C224"/>
      <c r="D224"/>
      <c r="E224"/>
      <c r="F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51" x14ac:dyDescent="0.25">
      <c r="A225" s="49" t="s">
        <v>117</v>
      </c>
    </row>
    <row r="226" spans="1:51" x14ac:dyDescent="0.25">
      <c r="A226" s="1" t="s">
        <v>0</v>
      </c>
      <c r="B226" s="1" t="s">
        <v>1</v>
      </c>
      <c r="C226" s="23" t="s">
        <v>2</v>
      </c>
      <c r="D226" s="23"/>
      <c r="E226" s="23"/>
      <c r="F226" s="13" t="s">
        <v>3</v>
      </c>
      <c r="G226" s="1" t="s">
        <v>4</v>
      </c>
      <c r="H226" s="1" t="s">
        <v>5</v>
      </c>
      <c r="I226" s="13" t="s">
        <v>6</v>
      </c>
      <c r="J226" s="13" t="s">
        <v>7</v>
      </c>
      <c r="K226" s="18" t="s">
        <v>8</v>
      </c>
      <c r="L226" s="13" t="s">
        <v>9</v>
      </c>
      <c r="M226" s="13" t="s">
        <v>10</v>
      </c>
      <c r="N226" s="13" t="s">
        <v>11</v>
      </c>
      <c r="O226" s="28" t="s">
        <v>12</v>
      </c>
      <c r="P226" s="32" t="s">
        <v>13</v>
      </c>
      <c r="Q226" s="37" t="s">
        <v>14</v>
      </c>
      <c r="R226" s="37" t="s">
        <v>15</v>
      </c>
      <c r="S226" s="13" t="s">
        <v>16</v>
      </c>
      <c r="T226" s="13" t="s">
        <v>17</v>
      </c>
      <c r="U226" s="42" t="s">
        <v>18</v>
      </c>
      <c r="V226" s="37" t="s">
        <v>19</v>
      </c>
      <c r="W226" s="3" t="s">
        <v>20</v>
      </c>
      <c r="X226" s="1" t="s">
        <v>21</v>
      </c>
      <c r="Y226" s="1" t="s">
        <v>22</v>
      </c>
      <c r="Z226" s="1" t="s">
        <v>23</v>
      </c>
      <c r="AA226" s="1" t="s">
        <v>24</v>
      </c>
      <c r="AB226" s="1" t="s">
        <v>25</v>
      </c>
      <c r="AC226" s="1" t="s">
        <v>26</v>
      </c>
      <c r="AD226" s="1" t="s">
        <v>27</v>
      </c>
      <c r="AE226" s="1" t="s">
        <v>28</v>
      </c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</row>
    <row r="227" spans="1:51" x14ac:dyDescent="0.25">
      <c r="A227" t="s">
        <v>144</v>
      </c>
      <c r="B227" t="s">
        <v>145</v>
      </c>
      <c r="C227" s="24">
        <v>44623</v>
      </c>
      <c r="F227" s="14">
        <v>4500000</v>
      </c>
      <c r="G227" t="s">
        <v>29</v>
      </c>
      <c r="H227" t="s">
        <v>30</v>
      </c>
      <c r="I227" s="14">
        <v>4500000</v>
      </c>
      <c r="J227" s="14">
        <v>1248500</v>
      </c>
      <c r="K227" s="19">
        <f>J227/I227*100</f>
        <v>27.744444444444444</v>
      </c>
      <c r="L227" s="14">
        <v>2497079</v>
      </c>
      <c r="M227" s="14">
        <f>I227-2125743</f>
        <v>2374257</v>
      </c>
      <c r="N227" s="14">
        <v>371336</v>
      </c>
      <c r="O227" s="29">
        <v>0</v>
      </c>
      <c r="P227" s="33">
        <v>0</v>
      </c>
      <c r="Q227" s="38">
        <v>2.71</v>
      </c>
      <c r="R227" s="38">
        <v>2.71</v>
      </c>
      <c r="S227" s="14" t="e">
        <f>M227/O227</f>
        <v>#DIV/0!</v>
      </c>
      <c r="T227" s="14">
        <f>M227/Q227</f>
        <v>876109.59409594093</v>
      </c>
      <c r="U227" s="43">
        <f>M227/Q227/43560</f>
        <v>20.112708771715816</v>
      </c>
      <c r="V227" s="38">
        <v>0</v>
      </c>
      <c r="W227" s="5" t="s">
        <v>31</v>
      </c>
      <c r="X227" t="s">
        <v>146</v>
      </c>
      <c r="Z227" t="s">
        <v>138</v>
      </c>
      <c r="AA227">
        <v>0</v>
      </c>
      <c r="AB227">
        <v>0</v>
      </c>
      <c r="AC227" t="s">
        <v>32</v>
      </c>
      <c r="AE227" s="6" t="s">
        <v>33</v>
      </c>
    </row>
    <row r="228" spans="1:51" x14ac:dyDescent="0.25">
      <c r="A228" t="s">
        <v>134</v>
      </c>
      <c r="B228" t="s">
        <v>135</v>
      </c>
      <c r="C228" s="24">
        <v>44785</v>
      </c>
      <c r="F228" s="14">
        <v>500000</v>
      </c>
      <c r="G228" t="s">
        <v>29</v>
      </c>
      <c r="H228" t="s">
        <v>30</v>
      </c>
      <c r="I228" s="14">
        <v>500000</v>
      </c>
      <c r="J228" s="14">
        <v>202300</v>
      </c>
      <c r="K228" s="19">
        <f>J228/I228*100</f>
        <v>40.46</v>
      </c>
      <c r="L228" s="14">
        <v>404626</v>
      </c>
      <c r="M228" s="14">
        <f>I228-0</f>
        <v>500000</v>
      </c>
      <c r="N228" s="14">
        <v>404626</v>
      </c>
      <c r="O228" s="29">
        <v>0</v>
      </c>
      <c r="P228" s="33">
        <v>0</v>
      </c>
      <c r="Q228" s="38">
        <v>4.33</v>
      </c>
      <c r="R228" s="38">
        <v>4.33</v>
      </c>
      <c r="S228" s="14" t="e">
        <f>M228/O228</f>
        <v>#DIV/0!</v>
      </c>
      <c r="T228" s="14">
        <f>M228/Q228</f>
        <v>115473.44110854503</v>
      </c>
      <c r="U228" s="43">
        <f>M228/Q228/43560</f>
        <v>2.6509054432632007</v>
      </c>
      <c r="V228" s="38">
        <v>0</v>
      </c>
      <c r="W228" s="5" t="s">
        <v>136</v>
      </c>
      <c r="X228" t="s">
        <v>137</v>
      </c>
      <c r="Z228" t="s">
        <v>138</v>
      </c>
      <c r="AA228">
        <v>0</v>
      </c>
      <c r="AB228">
        <v>0</v>
      </c>
      <c r="AC228" t="s">
        <v>32</v>
      </c>
      <c r="AE228" s="6" t="s">
        <v>139</v>
      </c>
    </row>
    <row r="229" spans="1:51" ht="15.75" thickBot="1" x14ac:dyDescent="0.3">
      <c r="A229" t="s">
        <v>140</v>
      </c>
      <c r="B229" t="s">
        <v>141</v>
      </c>
      <c r="C229" s="24">
        <v>43235</v>
      </c>
      <c r="D229" s="48">
        <v>4.4999999999999997E-3</v>
      </c>
      <c r="E229" s="24">
        <v>44652</v>
      </c>
      <c r="F229" s="14">
        <v>1400000</v>
      </c>
      <c r="G229" t="s">
        <v>29</v>
      </c>
      <c r="H229" t="s">
        <v>30</v>
      </c>
      <c r="I229" s="14">
        <f>((DATEDIF(C229,E229, "m")*D229)+1)*F229</f>
        <v>1689800</v>
      </c>
      <c r="J229" s="14">
        <v>544300</v>
      </c>
      <c r="K229" s="19">
        <f>J229/I229*100</f>
        <v>32.210912534027699</v>
      </c>
      <c r="L229" s="14">
        <v>1525683</v>
      </c>
      <c r="M229" s="14">
        <f>I229-0</f>
        <v>1689800</v>
      </c>
      <c r="N229" s="14">
        <v>1088592</v>
      </c>
      <c r="O229" s="29">
        <v>0</v>
      </c>
      <c r="P229" s="33">
        <v>0</v>
      </c>
      <c r="Q229" s="38">
        <v>66.22</v>
      </c>
      <c r="R229" s="38">
        <v>59.4</v>
      </c>
      <c r="S229" s="14" t="e">
        <f>M229/O229</f>
        <v>#DIV/0!</v>
      </c>
      <c r="T229" s="14">
        <f>M229/Q229</f>
        <v>25517.970401691331</v>
      </c>
      <c r="U229" s="43">
        <f>M229/Q229/43560</f>
        <v>0.58581199269263851</v>
      </c>
      <c r="V229" s="38">
        <v>0</v>
      </c>
      <c r="W229" s="5" t="s">
        <v>136</v>
      </c>
      <c r="X229" t="s">
        <v>142</v>
      </c>
      <c r="Y229" t="s">
        <v>143</v>
      </c>
      <c r="Z229" t="s">
        <v>138</v>
      </c>
      <c r="AA229">
        <v>0</v>
      </c>
      <c r="AB229">
        <v>0</v>
      </c>
      <c r="AC229" t="s">
        <v>32</v>
      </c>
      <c r="AE229" s="6" t="s">
        <v>39</v>
      </c>
    </row>
    <row r="230" spans="1:51" ht="15.75" thickTop="1" x14ac:dyDescent="0.25">
      <c r="A230" s="7"/>
      <c r="B230" s="7"/>
      <c r="C230" s="25" t="s">
        <v>91</v>
      </c>
      <c r="D230" s="25"/>
      <c r="E230" s="25"/>
      <c r="F230" s="15">
        <f>+SUM(F227:F229)</f>
        <v>6400000</v>
      </c>
      <c r="G230" s="7"/>
      <c r="H230" s="7"/>
      <c r="I230" s="15">
        <f>+SUM(I227:I229)</f>
        <v>6689800</v>
      </c>
      <c r="J230" s="15">
        <f>+SUM(J227:J229)</f>
        <v>1995100</v>
      </c>
      <c r="K230" s="20"/>
      <c r="L230" s="15">
        <f>+SUM(L227:L229)</f>
        <v>4427388</v>
      </c>
      <c r="M230" s="15">
        <f>+SUM(M227:M229)</f>
        <v>4564057</v>
      </c>
      <c r="N230" s="15">
        <f>+SUM(N227:N229)</f>
        <v>1864554</v>
      </c>
      <c r="O230" s="30">
        <f>+SUM(O227:O229)</f>
        <v>0</v>
      </c>
      <c r="P230" s="34"/>
      <c r="Q230" s="39">
        <f>+SUM(Q227:Q229)</f>
        <v>73.260000000000005</v>
      </c>
      <c r="R230" s="39">
        <f>+SUM(R227:R229)</f>
        <v>66.44</v>
      </c>
      <c r="S230" s="15"/>
      <c r="T230" s="15"/>
      <c r="U230" s="44"/>
      <c r="V230" s="39"/>
      <c r="W230" s="8"/>
      <c r="X230" s="7"/>
      <c r="Y230" s="7"/>
      <c r="Z230" s="7"/>
      <c r="AA230" s="7"/>
      <c r="AB230" s="7"/>
      <c r="AC230" s="7"/>
      <c r="AD230" s="7"/>
      <c r="AE230" s="7"/>
    </row>
    <row r="231" spans="1:51" x14ac:dyDescent="0.25">
      <c r="A231" s="9"/>
      <c r="B231" s="9"/>
      <c r="C231" s="26"/>
      <c r="D231" s="26"/>
      <c r="E231" s="26"/>
      <c r="F231" s="16"/>
      <c r="G231" s="9"/>
      <c r="H231" s="9"/>
      <c r="I231" s="16"/>
      <c r="J231" s="16" t="s">
        <v>92</v>
      </c>
      <c r="K231" s="21">
        <f>J230/I230*100</f>
        <v>29.823014140930969</v>
      </c>
      <c r="L231" s="16"/>
      <c r="M231" s="16"/>
      <c r="N231" s="16" t="s">
        <v>93</v>
      </c>
      <c r="O231" s="31"/>
      <c r="P231" s="35"/>
      <c r="Q231" s="40" t="s">
        <v>93</v>
      </c>
      <c r="R231" s="40"/>
      <c r="S231" s="16"/>
      <c r="T231" s="16" t="s">
        <v>93</v>
      </c>
      <c r="U231" s="45"/>
      <c r="V231" s="40"/>
      <c r="W231" s="10"/>
      <c r="X231" s="9"/>
      <c r="Y231" s="9"/>
      <c r="Z231" s="9"/>
      <c r="AA231" s="9"/>
      <c r="AB231" s="9"/>
      <c r="AC231" s="9"/>
      <c r="AD231" s="9"/>
      <c r="AE231" s="9"/>
    </row>
    <row r="232" spans="1:51" x14ac:dyDescent="0.25">
      <c r="A232" s="11"/>
      <c r="B232" s="11"/>
      <c r="C232" s="27"/>
      <c r="D232" s="27"/>
      <c r="E232" s="27"/>
      <c r="F232" s="17"/>
      <c r="G232" s="11"/>
      <c r="H232" s="11"/>
      <c r="I232" s="17"/>
      <c r="J232" s="17" t="s">
        <v>94</v>
      </c>
      <c r="K232" s="22">
        <f>STDEV(K227:K229)</f>
        <v>6.4508673099429874</v>
      </c>
      <c r="L232" s="17"/>
      <c r="M232" s="17"/>
      <c r="N232" s="17" t="s">
        <v>95</v>
      </c>
      <c r="O232" s="47" t="e">
        <f>M230/O230</f>
        <v>#DIV/0!</v>
      </c>
      <c r="P232" s="36"/>
      <c r="Q232" s="41" t="s">
        <v>96</v>
      </c>
      <c r="R232" s="41">
        <f>M230/Q230</f>
        <v>62299.440349440345</v>
      </c>
      <c r="S232" s="17"/>
      <c r="T232" s="17" t="s">
        <v>97</v>
      </c>
      <c r="U232" s="46">
        <f>M230/Q230/43560</f>
        <v>1.4301983551294846</v>
      </c>
      <c r="V232" s="41"/>
      <c r="W232" s="12"/>
      <c r="X232" s="11"/>
      <c r="Y232" s="11"/>
      <c r="Z232" s="11"/>
      <c r="AA232" s="11"/>
      <c r="AB232" s="11"/>
      <c r="AC232" s="11"/>
      <c r="AD232" s="11"/>
      <c r="AE232" s="11"/>
    </row>
    <row r="235" spans="1:51" x14ac:dyDescent="0.25">
      <c r="A235" s="50" t="s">
        <v>99</v>
      </c>
      <c r="B235" s="51"/>
      <c r="C235" s="52"/>
      <c r="D235" s="53"/>
      <c r="E235"/>
      <c r="F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51" x14ac:dyDescent="0.25">
      <c r="A236" s="54" t="s">
        <v>100</v>
      </c>
      <c r="B236" s="55" t="s">
        <v>101</v>
      </c>
      <c r="C236" s="55"/>
      <c r="D236" s="55" t="s">
        <v>109</v>
      </c>
      <c r="E236"/>
      <c r="F236" s="49" t="s">
        <v>152</v>
      </c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 s="65"/>
    </row>
    <row r="237" spans="1:51" x14ac:dyDescent="0.25">
      <c r="A237" s="56">
        <v>1</v>
      </c>
      <c r="B237" s="52"/>
      <c r="C237" s="52">
        <v>350000</v>
      </c>
      <c r="D237" s="57">
        <f>A237*C237</f>
        <v>350000</v>
      </c>
      <c r="E237" s="58" t="s">
        <v>107</v>
      </c>
      <c r="F237" s="52">
        <v>312550</v>
      </c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 s="65"/>
    </row>
    <row r="238" spans="1:51" x14ac:dyDescent="0.25">
      <c r="A238" s="56">
        <v>1.5</v>
      </c>
      <c r="B238" s="52"/>
      <c r="C238" s="52">
        <v>235000</v>
      </c>
      <c r="D238" s="57">
        <f t="shared" ref="D238:D252" si="11">A238*C238</f>
        <v>352500</v>
      </c>
      <c r="E238" s="58" t="s">
        <v>107</v>
      </c>
      <c r="F238">
        <v>212800</v>
      </c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 s="65"/>
    </row>
    <row r="239" spans="1:51" x14ac:dyDescent="0.25">
      <c r="A239" s="56">
        <v>2</v>
      </c>
      <c r="B239" s="52"/>
      <c r="C239" s="52">
        <v>185000</v>
      </c>
      <c r="D239" s="57">
        <f t="shared" si="11"/>
        <v>370000</v>
      </c>
      <c r="E239" s="58" t="s">
        <v>107</v>
      </c>
      <c r="F239">
        <v>172900</v>
      </c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 s="65"/>
    </row>
    <row r="240" spans="1:51" x14ac:dyDescent="0.25">
      <c r="A240" s="56">
        <v>2.5</v>
      </c>
      <c r="B240" s="52"/>
      <c r="C240" s="52">
        <v>150000</v>
      </c>
      <c r="D240" s="57">
        <f t="shared" si="11"/>
        <v>375000</v>
      </c>
      <c r="E240" s="58" t="s">
        <v>107</v>
      </c>
      <c r="F240">
        <v>146300</v>
      </c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 s="65"/>
    </row>
    <row r="241" spans="1:24" x14ac:dyDescent="0.25">
      <c r="A241" s="56">
        <v>3</v>
      </c>
      <c r="B241" s="52">
        <f>T227</f>
        <v>876109.59409594093</v>
      </c>
      <c r="C241" s="52">
        <v>126350</v>
      </c>
      <c r="D241" s="57">
        <f t="shared" si="11"/>
        <v>379050</v>
      </c>
      <c r="E241" s="58" t="s">
        <v>106</v>
      </c>
      <c r="F241">
        <v>126350</v>
      </c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 s="65"/>
    </row>
    <row r="242" spans="1:24" x14ac:dyDescent="0.25">
      <c r="A242" s="56">
        <v>4</v>
      </c>
      <c r="B242" s="52"/>
      <c r="C242" s="52">
        <v>105000</v>
      </c>
      <c r="D242" s="57">
        <f t="shared" si="11"/>
        <v>420000</v>
      </c>
      <c r="E242" s="58" t="s">
        <v>107</v>
      </c>
      <c r="F242">
        <v>97755</v>
      </c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 s="65"/>
    </row>
    <row r="243" spans="1:24" x14ac:dyDescent="0.25">
      <c r="A243" s="56">
        <v>5</v>
      </c>
      <c r="B243" s="52">
        <f>T228</f>
        <v>115473.44110854503</v>
      </c>
      <c r="C243" s="52">
        <v>90000</v>
      </c>
      <c r="D243" s="57">
        <f t="shared" si="11"/>
        <v>450000</v>
      </c>
      <c r="E243" s="58" t="s">
        <v>106</v>
      </c>
      <c r="F243">
        <v>86450</v>
      </c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 s="65"/>
    </row>
    <row r="244" spans="1:24" x14ac:dyDescent="0.25">
      <c r="A244" s="56">
        <v>7</v>
      </c>
      <c r="B244" s="52"/>
      <c r="C244" s="52">
        <v>67000</v>
      </c>
      <c r="D244" s="57">
        <f t="shared" si="11"/>
        <v>469000</v>
      </c>
      <c r="E244" s="58" t="s">
        <v>107</v>
      </c>
      <c r="F244">
        <v>62510</v>
      </c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 s="65"/>
    </row>
    <row r="245" spans="1:24" x14ac:dyDescent="0.25">
      <c r="A245" s="56">
        <v>10</v>
      </c>
      <c r="B245" s="52"/>
      <c r="C245" s="52">
        <v>49000</v>
      </c>
      <c r="D245" s="57">
        <f t="shared" si="11"/>
        <v>490000</v>
      </c>
      <c r="E245" s="58" t="s">
        <v>107</v>
      </c>
      <c r="F245">
        <v>46550</v>
      </c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 s="65"/>
    </row>
    <row r="246" spans="1:24" x14ac:dyDescent="0.25">
      <c r="A246" s="56">
        <v>15</v>
      </c>
      <c r="B246" s="52"/>
      <c r="C246" s="52">
        <v>35245</v>
      </c>
      <c r="D246" s="57">
        <f t="shared" si="11"/>
        <v>528675</v>
      </c>
      <c r="E246" s="58" t="s">
        <v>107</v>
      </c>
      <c r="F246">
        <v>35245</v>
      </c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 s="65"/>
    </row>
    <row r="247" spans="1:24" x14ac:dyDescent="0.25">
      <c r="A247" s="56">
        <v>20</v>
      </c>
      <c r="B247" s="52"/>
      <c r="C247" s="52">
        <v>27597.5</v>
      </c>
      <c r="D247" s="57">
        <f t="shared" si="11"/>
        <v>551950</v>
      </c>
      <c r="E247" s="58" t="s">
        <v>107</v>
      </c>
      <c r="F247">
        <v>27597.5</v>
      </c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 s="65"/>
    </row>
    <row r="248" spans="1:24" x14ac:dyDescent="0.25">
      <c r="A248" s="56">
        <v>25</v>
      </c>
      <c r="B248" s="52"/>
      <c r="C248" s="52">
        <v>22610</v>
      </c>
      <c r="D248" s="57">
        <f t="shared" si="11"/>
        <v>565250</v>
      </c>
      <c r="E248" s="58" t="s">
        <v>107</v>
      </c>
      <c r="F248">
        <v>22610</v>
      </c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 s="65"/>
    </row>
    <row r="249" spans="1:24" x14ac:dyDescent="0.25">
      <c r="A249" s="56">
        <v>30</v>
      </c>
      <c r="B249" s="52"/>
      <c r="C249" s="52">
        <v>19950</v>
      </c>
      <c r="D249" s="57">
        <f t="shared" si="11"/>
        <v>598500</v>
      </c>
      <c r="E249" s="58" t="s">
        <v>107</v>
      </c>
      <c r="F249">
        <v>19950</v>
      </c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 s="65"/>
    </row>
    <row r="250" spans="1:24" x14ac:dyDescent="0.25">
      <c r="A250" s="56">
        <v>40</v>
      </c>
      <c r="B250" s="52"/>
      <c r="C250" s="52">
        <v>15960</v>
      </c>
      <c r="D250" s="57">
        <f t="shared" si="11"/>
        <v>638400</v>
      </c>
      <c r="E250" s="58" t="s">
        <v>107</v>
      </c>
      <c r="F250">
        <v>15960</v>
      </c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 s="65"/>
    </row>
    <row r="251" spans="1:24" x14ac:dyDescent="0.25">
      <c r="A251" s="56">
        <v>50</v>
      </c>
      <c r="B251" s="52"/>
      <c r="C251" s="52">
        <v>12967.5</v>
      </c>
      <c r="D251" s="57">
        <f t="shared" si="11"/>
        <v>648375</v>
      </c>
      <c r="E251" s="58" t="s">
        <v>107</v>
      </c>
      <c r="F251">
        <v>12967.5</v>
      </c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 s="65"/>
    </row>
    <row r="252" spans="1:24" x14ac:dyDescent="0.25">
      <c r="A252" s="56">
        <v>100</v>
      </c>
      <c r="B252" s="52">
        <f>T229</f>
        <v>25517.970401691331</v>
      </c>
      <c r="C252" s="52">
        <v>7200</v>
      </c>
      <c r="D252" s="57">
        <f t="shared" si="11"/>
        <v>720000</v>
      </c>
      <c r="E252" s="58" t="s">
        <v>106</v>
      </c>
      <c r="F252">
        <v>6650</v>
      </c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 s="65"/>
    </row>
    <row r="253" spans="1:24" x14ac:dyDescent="0.25">
      <c r="B253" s="59"/>
      <c r="C253" s="59"/>
      <c r="D253"/>
      <c r="E253"/>
      <c r="F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 s="65"/>
    </row>
    <row r="254" spans="1:24" x14ac:dyDescent="0.25">
      <c r="A254" t="s">
        <v>103</v>
      </c>
      <c r="C254"/>
      <c r="D254"/>
      <c r="E254"/>
      <c r="F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 s="65"/>
    </row>
    <row r="255" spans="1:24" x14ac:dyDescent="0.25">
      <c r="A255" t="s">
        <v>104</v>
      </c>
      <c r="C255"/>
      <c r="D255"/>
      <c r="E255"/>
      <c r="F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 s="65"/>
    </row>
    <row r="256" spans="1:24" x14ac:dyDescent="0.25">
      <c r="A256" t="s">
        <v>105</v>
      </c>
      <c r="C256"/>
      <c r="D256"/>
      <c r="E256"/>
      <c r="F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51" x14ac:dyDescent="0.25">
      <c r="C257"/>
      <c r="D257"/>
      <c r="E257"/>
      <c r="F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51" x14ac:dyDescent="0.25">
      <c r="C258"/>
      <c r="D258" s="64"/>
      <c r="E258"/>
      <c r="F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51" x14ac:dyDescent="0.25">
      <c r="C259"/>
      <c r="D259"/>
      <c r="E259"/>
      <c r="F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2" spans="1:51" x14ac:dyDescent="0.25">
      <c r="A262" s="49" t="s">
        <v>110</v>
      </c>
    </row>
    <row r="263" spans="1:51" x14ac:dyDescent="0.25">
      <c r="A263" s="1" t="s">
        <v>0</v>
      </c>
      <c r="B263" s="1" t="s">
        <v>1</v>
      </c>
      <c r="C263" s="23" t="s">
        <v>2</v>
      </c>
      <c r="D263" s="23"/>
      <c r="E263" s="23"/>
      <c r="F263" s="13" t="s">
        <v>3</v>
      </c>
      <c r="G263" s="1" t="s">
        <v>4</v>
      </c>
      <c r="H263" s="1" t="s">
        <v>5</v>
      </c>
      <c r="I263" s="13" t="s">
        <v>6</v>
      </c>
      <c r="J263" s="13" t="s">
        <v>7</v>
      </c>
      <c r="K263" s="18" t="s">
        <v>8</v>
      </c>
      <c r="L263" s="13" t="s">
        <v>9</v>
      </c>
      <c r="M263" s="13" t="s">
        <v>10</v>
      </c>
      <c r="N263" s="13" t="s">
        <v>11</v>
      </c>
      <c r="O263" s="28" t="s">
        <v>12</v>
      </c>
      <c r="P263" s="32" t="s">
        <v>13</v>
      </c>
      <c r="Q263" s="37" t="s">
        <v>14</v>
      </c>
      <c r="R263" s="37" t="s">
        <v>15</v>
      </c>
      <c r="S263" s="13" t="s">
        <v>16</v>
      </c>
      <c r="T263" s="13" t="s">
        <v>153</v>
      </c>
      <c r="U263" s="42" t="s">
        <v>18</v>
      </c>
      <c r="V263" s="37" t="s">
        <v>19</v>
      </c>
      <c r="W263" s="3" t="s">
        <v>20</v>
      </c>
      <c r="X263" s="1" t="s">
        <v>21</v>
      </c>
      <c r="Y263" s="1" t="s">
        <v>22</v>
      </c>
      <c r="Z263" s="1" t="s">
        <v>23</v>
      </c>
      <c r="AA263" s="1" t="s">
        <v>24</v>
      </c>
      <c r="AB263" s="1" t="s">
        <v>25</v>
      </c>
      <c r="AC263" s="1" t="s">
        <v>26</v>
      </c>
      <c r="AD263" s="1" t="s">
        <v>27</v>
      </c>
      <c r="AE263" s="1" t="s">
        <v>28</v>
      </c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</row>
    <row r="264" spans="1:51" x14ac:dyDescent="0.25">
      <c r="A264" t="s">
        <v>78</v>
      </c>
      <c r="B264" t="s">
        <v>79</v>
      </c>
      <c r="C264" s="24">
        <v>42153</v>
      </c>
      <c r="D264" s="48">
        <v>4.4999999999999997E-3</v>
      </c>
      <c r="E264" s="24">
        <v>44652</v>
      </c>
      <c r="F264" s="14">
        <v>125000</v>
      </c>
      <c r="G264" t="s">
        <v>42</v>
      </c>
      <c r="H264" t="s">
        <v>30</v>
      </c>
      <c r="I264" s="14">
        <f>((DATEDIF(C264,E264, "m")*D264)+1)*F264</f>
        <v>171125</v>
      </c>
      <c r="J264" s="14">
        <v>73800</v>
      </c>
      <c r="K264" s="19">
        <f t="shared" ref="K264:K269" si="12">J264/I264*100</f>
        <v>43.126369612856095</v>
      </c>
      <c r="L264" s="14">
        <v>147592</v>
      </c>
      <c r="M264" s="14">
        <f>I264-130168</f>
        <v>40957</v>
      </c>
      <c r="N264" s="14">
        <v>17424</v>
      </c>
      <c r="O264" s="29">
        <v>0</v>
      </c>
      <c r="P264" s="33">
        <v>0</v>
      </c>
      <c r="Q264" s="38">
        <v>0.04</v>
      </c>
      <c r="R264" s="38">
        <v>0.04</v>
      </c>
      <c r="S264" s="14" t="e">
        <f t="shared" ref="S264:S269" si="13">M264/O264</f>
        <v>#DIV/0!</v>
      </c>
      <c r="T264" s="62">
        <f>Q264*43560</f>
        <v>1742.4</v>
      </c>
      <c r="U264" s="43">
        <f t="shared" ref="U264:U269" si="14">M264/Q264/43560</f>
        <v>23.506083562901743</v>
      </c>
      <c r="V264" s="38">
        <v>0</v>
      </c>
      <c r="W264" s="5" t="s">
        <v>80</v>
      </c>
      <c r="X264" t="s">
        <v>81</v>
      </c>
      <c r="Z264" t="s">
        <v>150</v>
      </c>
      <c r="AA264">
        <v>0</v>
      </c>
      <c r="AB264">
        <v>0</v>
      </c>
      <c r="AC264" t="s">
        <v>32</v>
      </c>
      <c r="AE264" s="6" t="s">
        <v>36</v>
      </c>
    </row>
    <row r="265" spans="1:51" x14ac:dyDescent="0.25">
      <c r="A265" t="s">
        <v>85</v>
      </c>
      <c r="B265" t="s">
        <v>86</v>
      </c>
      <c r="C265" s="24">
        <v>44357</v>
      </c>
      <c r="F265" s="14">
        <v>244000</v>
      </c>
      <c r="G265" t="s">
        <v>29</v>
      </c>
      <c r="H265" t="s">
        <v>30</v>
      </c>
      <c r="I265" s="14">
        <v>244000</v>
      </c>
      <c r="J265" s="14">
        <v>84800</v>
      </c>
      <c r="K265" s="19">
        <f t="shared" si="12"/>
        <v>34.754098360655739</v>
      </c>
      <c r="L265" s="14">
        <v>169524</v>
      </c>
      <c r="M265" s="14">
        <f>I265-138615</f>
        <v>105385</v>
      </c>
      <c r="N265" s="14">
        <v>30909</v>
      </c>
      <c r="O265" s="29">
        <v>0</v>
      </c>
      <c r="P265" s="33">
        <v>0</v>
      </c>
      <c r="Q265" s="38">
        <v>0.08</v>
      </c>
      <c r="R265" s="38">
        <v>0.08</v>
      </c>
      <c r="S265" s="14" t="e">
        <f t="shared" si="13"/>
        <v>#DIV/0!</v>
      </c>
      <c r="T265" s="62">
        <f t="shared" ref="T265:T269" si="15">Q265*43560</f>
        <v>3484.8</v>
      </c>
      <c r="U265" s="43">
        <f t="shared" si="14"/>
        <v>30.241333792470154</v>
      </c>
      <c r="V265" s="38">
        <v>0</v>
      </c>
      <c r="W265" s="5" t="s">
        <v>80</v>
      </c>
      <c r="X265" t="s">
        <v>87</v>
      </c>
      <c r="Z265" t="s">
        <v>150</v>
      </c>
      <c r="AA265">
        <v>0</v>
      </c>
      <c r="AB265">
        <v>0</v>
      </c>
      <c r="AC265" t="s">
        <v>32</v>
      </c>
      <c r="AE265" s="6" t="s">
        <v>36</v>
      </c>
    </row>
    <row r="266" spans="1:51" x14ac:dyDescent="0.25">
      <c r="A266" t="s">
        <v>85</v>
      </c>
      <c r="B266" t="s">
        <v>86</v>
      </c>
      <c r="C266" s="24">
        <v>44733</v>
      </c>
      <c r="F266" s="14">
        <v>335000</v>
      </c>
      <c r="G266" t="s">
        <v>29</v>
      </c>
      <c r="H266" t="s">
        <v>30</v>
      </c>
      <c r="I266" s="14">
        <v>335000</v>
      </c>
      <c r="J266" s="14">
        <v>84800</v>
      </c>
      <c r="K266" s="19">
        <f t="shared" si="12"/>
        <v>25.313432835820898</v>
      </c>
      <c r="L266" s="14">
        <v>169524</v>
      </c>
      <c r="M266" s="14">
        <f>I266-138615</f>
        <v>196385</v>
      </c>
      <c r="N266" s="14">
        <v>30909</v>
      </c>
      <c r="O266" s="29">
        <v>0</v>
      </c>
      <c r="P266" s="33">
        <v>0</v>
      </c>
      <c r="Q266" s="38">
        <v>0.08</v>
      </c>
      <c r="R266" s="38">
        <v>0.08</v>
      </c>
      <c r="S266" s="14" t="e">
        <f t="shared" si="13"/>
        <v>#DIV/0!</v>
      </c>
      <c r="T266" s="62">
        <f t="shared" si="15"/>
        <v>3484.8</v>
      </c>
      <c r="U266" s="43">
        <f t="shared" si="14"/>
        <v>56.354740587695133</v>
      </c>
      <c r="V266" s="38">
        <v>0</v>
      </c>
      <c r="W266" s="5" t="s">
        <v>80</v>
      </c>
      <c r="X266" t="s">
        <v>151</v>
      </c>
      <c r="Z266" t="s">
        <v>150</v>
      </c>
      <c r="AA266">
        <v>0</v>
      </c>
      <c r="AB266">
        <v>0</v>
      </c>
      <c r="AC266" t="s">
        <v>32</v>
      </c>
      <c r="AE266" s="6" t="s">
        <v>36</v>
      </c>
    </row>
    <row r="267" spans="1:51" x14ac:dyDescent="0.25">
      <c r="A267" t="s">
        <v>147</v>
      </c>
      <c r="B267" t="s">
        <v>148</v>
      </c>
      <c r="C267" s="24">
        <v>45077</v>
      </c>
      <c r="F267" s="14">
        <v>150000</v>
      </c>
      <c r="G267" t="s">
        <v>29</v>
      </c>
      <c r="H267" t="s">
        <v>30</v>
      </c>
      <c r="I267" s="14">
        <v>150000</v>
      </c>
      <c r="J267" s="14">
        <v>96600</v>
      </c>
      <c r="K267" s="19">
        <f t="shared" si="12"/>
        <v>64.400000000000006</v>
      </c>
      <c r="L267" s="14">
        <v>193194</v>
      </c>
      <c r="M267" s="14">
        <f>I267-141168</f>
        <v>8832</v>
      </c>
      <c r="N267" s="14">
        <v>52026</v>
      </c>
      <c r="O267" s="29">
        <v>0</v>
      </c>
      <c r="P267" s="33">
        <v>0</v>
      </c>
      <c r="Q267" s="38">
        <v>0.17</v>
      </c>
      <c r="R267" s="38">
        <v>0.17</v>
      </c>
      <c r="S267" s="14" t="e">
        <f t="shared" si="13"/>
        <v>#DIV/0!</v>
      </c>
      <c r="T267" s="62">
        <f t="shared" si="15"/>
        <v>7405.2000000000007</v>
      </c>
      <c r="U267" s="43">
        <f t="shared" si="14"/>
        <v>1.1926754172743477</v>
      </c>
      <c r="V267" s="38">
        <v>0</v>
      </c>
      <c r="W267" s="5" t="s">
        <v>80</v>
      </c>
      <c r="X267" t="s">
        <v>149</v>
      </c>
      <c r="Z267" t="s">
        <v>150</v>
      </c>
      <c r="AA267">
        <v>0</v>
      </c>
      <c r="AB267">
        <v>0</v>
      </c>
      <c r="AC267" t="s">
        <v>32</v>
      </c>
      <c r="AE267" s="6" t="s">
        <v>36</v>
      </c>
    </row>
    <row r="268" spans="1:51" x14ac:dyDescent="0.25">
      <c r="A268" t="s">
        <v>88</v>
      </c>
      <c r="B268" t="s">
        <v>89</v>
      </c>
      <c r="C268" s="24">
        <v>42375</v>
      </c>
      <c r="D268" s="48">
        <v>4.4999999999999997E-3</v>
      </c>
      <c r="E268" s="24">
        <v>44652</v>
      </c>
      <c r="F268" s="14">
        <v>70000</v>
      </c>
      <c r="G268" t="s">
        <v>29</v>
      </c>
      <c r="H268" t="s">
        <v>30</v>
      </c>
      <c r="I268" s="14">
        <f>((DATEDIF(C268,E268, "m")*D268)+1)*F268</f>
        <v>93310</v>
      </c>
      <c r="J268" s="14">
        <v>72800</v>
      </c>
      <c r="K268" s="19">
        <f t="shared" si="12"/>
        <v>78.019504876219059</v>
      </c>
      <c r="L268" s="14">
        <v>145619</v>
      </c>
      <c r="M268" s="14">
        <f>I268-82006</f>
        <v>11304</v>
      </c>
      <c r="N268" s="14">
        <v>63613</v>
      </c>
      <c r="O268" s="29">
        <v>0</v>
      </c>
      <c r="P268" s="33">
        <v>0</v>
      </c>
      <c r="Q268" s="38">
        <v>0.25</v>
      </c>
      <c r="R268" s="38">
        <v>0.25</v>
      </c>
      <c r="S268" s="14" t="e">
        <f t="shared" si="13"/>
        <v>#DIV/0!</v>
      </c>
      <c r="T268" s="62">
        <f t="shared" si="15"/>
        <v>10890</v>
      </c>
      <c r="U268" s="43">
        <f t="shared" si="14"/>
        <v>1.0380165289256198</v>
      </c>
      <c r="V268" s="38">
        <v>0</v>
      </c>
      <c r="W268" s="5" t="s">
        <v>80</v>
      </c>
      <c r="X268" t="s">
        <v>90</v>
      </c>
      <c r="Z268" t="s">
        <v>150</v>
      </c>
      <c r="AA268">
        <v>0</v>
      </c>
      <c r="AB268">
        <v>0</v>
      </c>
      <c r="AC268" t="s">
        <v>32</v>
      </c>
      <c r="AE268" s="6" t="s">
        <v>36</v>
      </c>
    </row>
    <row r="269" spans="1:51" ht="15.75" thickBot="1" x14ac:dyDescent="0.3">
      <c r="A269" t="s">
        <v>82</v>
      </c>
      <c r="B269" t="s">
        <v>83</v>
      </c>
      <c r="C269" s="24">
        <v>44426</v>
      </c>
      <c r="F269" s="14">
        <v>100000</v>
      </c>
      <c r="G269" t="s">
        <v>29</v>
      </c>
      <c r="H269" t="s">
        <v>30</v>
      </c>
      <c r="I269" s="14">
        <v>100000</v>
      </c>
      <c r="J269" s="14">
        <v>52000</v>
      </c>
      <c r="K269" s="19">
        <f t="shared" si="12"/>
        <v>52</v>
      </c>
      <c r="L269" s="14">
        <v>103990</v>
      </c>
      <c r="M269" s="14">
        <f>I269-39833</f>
        <v>60167</v>
      </c>
      <c r="N269" s="14">
        <v>64157</v>
      </c>
      <c r="O269" s="29">
        <v>0</v>
      </c>
      <c r="P269" s="33">
        <v>0</v>
      </c>
      <c r="Q269" s="38">
        <v>0.26</v>
      </c>
      <c r="R269" s="38">
        <v>0.26</v>
      </c>
      <c r="S269" s="14" t="e">
        <f t="shared" si="13"/>
        <v>#DIV/0!</v>
      </c>
      <c r="T269" s="62">
        <f t="shared" si="15"/>
        <v>11325.6</v>
      </c>
      <c r="U269" s="43">
        <f t="shared" si="14"/>
        <v>5.3124779261142896</v>
      </c>
      <c r="V269" s="38">
        <v>0</v>
      </c>
      <c r="W269" s="5" t="s">
        <v>80</v>
      </c>
      <c r="X269" t="s">
        <v>84</v>
      </c>
      <c r="Z269" t="s">
        <v>150</v>
      </c>
      <c r="AA269">
        <v>0</v>
      </c>
      <c r="AB269">
        <v>0</v>
      </c>
      <c r="AC269" t="s">
        <v>32</v>
      </c>
      <c r="AE269" s="6" t="s">
        <v>36</v>
      </c>
    </row>
    <row r="270" spans="1:51" ht="15.75" thickTop="1" x14ac:dyDescent="0.25">
      <c r="A270" s="7"/>
      <c r="B270" s="7"/>
      <c r="C270" s="25" t="s">
        <v>91</v>
      </c>
      <c r="D270" s="25"/>
      <c r="E270" s="25"/>
      <c r="F270" s="15">
        <f>+SUM(F264:F269)</f>
        <v>1024000</v>
      </c>
      <c r="G270" s="7"/>
      <c r="H270" s="7"/>
      <c r="I270" s="15">
        <f>+SUM(I264:I269)</f>
        <v>1093435</v>
      </c>
      <c r="J270" s="15">
        <f>+SUM(J264:J269)</f>
        <v>464800</v>
      </c>
      <c r="K270" s="20"/>
      <c r="L270" s="15">
        <f>+SUM(L264:L269)</f>
        <v>929443</v>
      </c>
      <c r="M270" s="15">
        <f>+SUM(M264:M269)</f>
        <v>423030</v>
      </c>
      <c r="N270" s="15">
        <f>+SUM(N264:N269)</f>
        <v>259038</v>
      </c>
      <c r="O270" s="30">
        <f>+SUM(O264:O269)</f>
        <v>0</v>
      </c>
      <c r="P270" s="34"/>
      <c r="Q270" s="39">
        <f>+SUM(Q264:Q269)</f>
        <v>0.88</v>
      </c>
      <c r="R270" s="39">
        <f>+SUM(R264:R269)</f>
        <v>0.88</v>
      </c>
      <c r="S270" s="15"/>
      <c r="T270" s="15"/>
      <c r="U270" s="44"/>
      <c r="V270" s="39"/>
      <c r="W270" s="8"/>
      <c r="X270" s="7"/>
      <c r="Y270" s="7"/>
      <c r="Z270" s="7"/>
      <c r="AA270" s="7"/>
      <c r="AB270" s="7"/>
      <c r="AC270" s="7"/>
      <c r="AD270" s="7"/>
      <c r="AE270" s="7"/>
    </row>
    <row r="271" spans="1:51" x14ac:dyDescent="0.25">
      <c r="A271" s="9"/>
      <c r="B271" s="9"/>
      <c r="C271" s="26"/>
      <c r="D271" s="26"/>
      <c r="E271" s="26"/>
      <c r="F271" s="16"/>
      <c r="G271" s="9"/>
      <c r="H271" s="9"/>
      <c r="I271" s="16"/>
      <c r="J271" s="16" t="s">
        <v>92</v>
      </c>
      <c r="K271" s="21">
        <f>J270/I270*100</f>
        <v>42.508242373803654</v>
      </c>
      <c r="L271" s="16"/>
      <c r="M271" s="16"/>
      <c r="N271" s="16" t="s">
        <v>93</v>
      </c>
      <c r="O271" s="31"/>
      <c r="P271" s="35"/>
      <c r="Q271" s="40" t="s">
        <v>93</v>
      </c>
      <c r="R271" s="40"/>
      <c r="S271" s="16"/>
      <c r="T271" s="16" t="s">
        <v>93</v>
      </c>
      <c r="U271" s="45"/>
      <c r="V271" s="40"/>
      <c r="W271" s="10"/>
      <c r="X271" s="9"/>
      <c r="Y271" s="9"/>
      <c r="Z271" s="9"/>
      <c r="AA271" s="9"/>
      <c r="AB271" s="9"/>
      <c r="AC271" s="9"/>
      <c r="AD271" s="9"/>
      <c r="AE271" s="9"/>
    </row>
    <row r="272" spans="1:51" x14ac:dyDescent="0.25">
      <c r="A272" s="11"/>
      <c r="B272" s="11"/>
      <c r="C272" s="27"/>
      <c r="D272" s="27"/>
      <c r="E272" s="27"/>
      <c r="F272" s="17"/>
      <c r="G272" s="11"/>
      <c r="H272" s="11"/>
      <c r="I272" s="17"/>
      <c r="J272" s="17" t="s">
        <v>94</v>
      </c>
      <c r="K272" s="22">
        <f>STDEV(K264:K269)</f>
        <v>19.414501064678376</v>
      </c>
      <c r="L272" s="17"/>
      <c r="M272" s="17"/>
      <c r="N272" s="17" t="s">
        <v>95</v>
      </c>
      <c r="O272" s="47" t="e">
        <f>M270/O270</f>
        <v>#DIV/0!</v>
      </c>
      <c r="P272" s="36"/>
      <c r="Q272" s="41" t="s">
        <v>96</v>
      </c>
      <c r="R272" s="41">
        <f>M270/Q270</f>
        <v>480715.90909090912</v>
      </c>
      <c r="S272" s="17"/>
      <c r="T272" s="17" t="s">
        <v>97</v>
      </c>
      <c r="U272" s="46">
        <f>M270/Q270/43560</f>
        <v>11.035718757826196</v>
      </c>
      <c r="V272" s="41"/>
      <c r="W272" s="12"/>
      <c r="X272" s="11"/>
      <c r="Y272" s="11"/>
      <c r="Z272" s="11"/>
      <c r="AA272" s="11"/>
      <c r="AB272" s="11"/>
      <c r="AC272" s="11"/>
      <c r="AD272" s="11"/>
      <c r="AE272" s="11"/>
    </row>
    <row r="278" spans="1:23" x14ac:dyDescent="0.25">
      <c r="A278" s="50" t="s">
        <v>99</v>
      </c>
      <c r="B278" s="51"/>
      <c r="C278" s="52"/>
      <c r="D278" s="53"/>
      <c r="E278"/>
      <c r="F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x14ac:dyDescent="0.25">
      <c r="A279" s="54" t="s">
        <v>113</v>
      </c>
      <c r="B279" s="55" t="s">
        <v>111</v>
      </c>
      <c r="C279" s="55"/>
      <c r="D279" s="55" t="s">
        <v>112</v>
      </c>
      <c r="E279"/>
      <c r="F279" s="49" t="s">
        <v>152</v>
      </c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x14ac:dyDescent="0.25">
      <c r="A280" s="60">
        <v>2500</v>
      </c>
      <c r="B280" s="63">
        <f>U264</f>
        <v>23.506083562901743</v>
      </c>
      <c r="C280" s="61">
        <v>11</v>
      </c>
      <c r="D280" s="57">
        <f>A280*C280</f>
        <v>27500</v>
      </c>
      <c r="E280" s="58" t="s">
        <v>106</v>
      </c>
      <c r="F280" s="61">
        <v>10</v>
      </c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x14ac:dyDescent="0.25">
      <c r="A281" s="60">
        <v>5000</v>
      </c>
      <c r="B281" s="63">
        <f>AVERAGE(U265:U266)</f>
        <v>43.298037190082646</v>
      </c>
      <c r="C281" s="61">
        <v>8.25</v>
      </c>
      <c r="D281" s="57">
        <f t="shared" ref="D281:D295" si="16">A281*C281</f>
        <v>41250</v>
      </c>
      <c r="E281" s="58" t="s">
        <v>106</v>
      </c>
      <c r="F281" s="61">
        <v>7.5</v>
      </c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x14ac:dyDescent="0.25">
      <c r="A282" s="60">
        <v>7500</v>
      </c>
      <c r="B282" s="63">
        <f>U267</f>
        <v>1.1926754172743477</v>
      </c>
      <c r="C282" s="61">
        <v>7</v>
      </c>
      <c r="D282" s="57">
        <f t="shared" si="16"/>
        <v>52500</v>
      </c>
      <c r="E282" s="58" t="s">
        <v>106</v>
      </c>
      <c r="F282" s="61">
        <v>5.5</v>
      </c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x14ac:dyDescent="0.25">
      <c r="A283" s="60">
        <v>10000</v>
      </c>
      <c r="B283" s="63"/>
      <c r="C283" s="61">
        <v>6.25</v>
      </c>
      <c r="D283" s="57">
        <f t="shared" si="16"/>
        <v>62500</v>
      </c>
      <c r="E283" s="58" t="s">
        <v>107</v>
      </c>
      <c r="F283" s="61">
        <v>4.25</v>
      </c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x14ac:dyDescent="0.25">
      <c r="A284" s="60">
        <v>12500</v>
      </c>
      <c r="B284" s="63">
        <f>AVERAGE(U268:U269)</f>
        <v>3.1752472275199546</v>
      </c>
      <c r="C284" s="61">
        <v>5.25</v>
      </c>
      <c r="D284" s="57">
        <f t="shared" si="16"/>
        <v>65625</v>
      </c>
      <c r="E284" s="58" t="s">
        <v>106</v>
      </c>
      <c r="F284" s="61">
        <v>3.5</v>
      </c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x14ac:dyDescent="0.25">
      <c r="A285" s="60">
        <v>15000</v>
      </c>
      <c r="B285" s="63"/>
      <c r="C285" s="61">
        <v>4.75</v>
      </c>
      <c r="D285" s="57">
        <f t="shared" si="16"/>
        <v>71250</v>
      </c>
      <c r="E285" s="58" t="s">
        <v>107</v>
      </c>
      <c r="F285" s="61">
        <v>3.2</v>
      </c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x14ac:dyDescent="0.25">
      <c r="A286" s="60">
        <v>20000</v>
      </c>
      <c r="B286" s="63"/>
      <c r="C286" s="61">
        <v>4.25</v>
      </c>
      <c r="D286" s="57">
        <f t="shared" si="16"/>
        <v>85000</v>
      </c>
      <c r="E286" s="58" t="s">
        <v>107</v>
      </c>
      <c r="F286" s="61">
        <v>3.15</v>
      </c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x14ac:dyDescent="0.25">
      <c r="A287" s="60">
        <v>25000</v>
      </c>
      <c r="B287" s="63"/>
      <c r="C287" s="61">
        <v>3.65</v>
      </c>
      <c r="D287" s="57">
        <f t="shared" si="16"/>
        <v>91250</v>
      </c>
      <c r="E287" s="58" t="s">
        <v>107</v>
      </c>
      <c r="F287" s="61">
        <v>3.1</v>
      </c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x14ac:dyDescent="0.25">
      <c r="A288" s="60">
        <v>30000</v>
      </c>
      <c r="B288" s="63"/>
      <c r="C288" s="61">
        <v>3.35</v>
      </c>
      <c r="D288" s="57">
        <f t="shared" si="16"/>
        <v>100500</v>
      </c>
      <c r="E288" s="58" t="s">
        <v>107</v>
      </c>
      <c r="F288" s="61">
        <v>3.05</v>
      </c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x14ac:dyDescent="0.25">
      <c r="A289" s="60">
        <v>40000</v>
      </c>
      <c r="B289" s="63"/>
      <c r="C289" s="61">
        <v>3.1</v>
      </c>
      <c r="D289" s="57">
        <f t="shared" si="16"/>
        <v>124000</v>
      </c>
      <c r="E289" s="58" t="s">
        <v>107</v>
      </c>
      <c r="F289" s="61">
        <v>3</v>
      </c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x14ac:dyDescent="0.25">
      <c r="A290" s="60">
        <v>50000</v>
      </c>
      <c r="B290" s="63"/>
      <c r="C290" s="61">
        <v>2.7</v>
      </c>
      <c r="D290" s="57">
        <f t="shared" si="16"/>
        <v>135000</v>
      </c>
      <c r="E290" s="58" t="s">
        <v>107</v>
      </c>
      <c r="F290" s="61">
        <v>2.65</v>
      </c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x14ac:dyDescent="0.25">
      <c r="A291" s="60">
        <v>60000</v>
      </c>
      <c r="B291" s="63"/>
      <c r="C291" s="61">
        <v>2.35</v>
      </c>
      <c r="D291" s="57">
        <f t="shared" si="16"/>
        <v>141000</v>
      </c>
      <c r="E291" s="58" t="s">
        <v>107</v>
      </c>
      <c r="F291" s="61">
        <v>2.25</v>
      </c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x14ac:dyDescent="0.25">
      <c r="A292" s="60">
        <v>87120</v>
      </c>
      <c r="B292" s="63"/>
      <c r="C292" s="61">
        <v>1.8</v>
      </c>
      <c r="D292" s="57">
        <f t="shared" si="16"/>
        <v>156816</v>
      </c>
      <c r="E292" s="58" t="s">
        <v>107</v>
      </c>
      <c r="F292" s="61">
        <v>1.65</v>
      </c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x14ac:dyDescent="0.25">
      <c r="A293" s="60">
        <v>130680</v>
      </c>
      <c r="B293" s="63"/>
      <c r="C293" s="61">
        <v>1.38</v>
      </c>
      <c r="D293" s="57">
        <f t="shared" si="16"/>
        <v>180338.4</v>
      </c>
      <c r="E293" s="58" t="s">
        <v>107</v>
      </c>
      <c r="F293" s="61">
        <v>1.1499999999999999</v>
      </c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x14ac:dyDescent="0.25">
      <c r="A294" s="60">
        <v>174240</v>
      </c>
      <c r="B294" s="63"/>
      <c r="C294" s="61">
        <v>1.1000000000000001</v>
      </c>
      <c r="D294" s="57">
        <f t="shared" si="16"/>
        <v>191664.00000000003</v>
      </c>
      <c r="E294" s="58" t="s">
        <v>107</v>
      </c>
      <c r="F294" s="61">
        <v>0.9</v>
      </c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x14ac:dyDescent="0.25">
      <c r="A295" s="60">
        <v>217800</v>
      </c>
      <c r="B295" s="63"/>
      <c r="C295" s="61">
        <v>0.9</v>
      </c>
      <c r="D295" s="57">
        <f t="shared" si="16"/>
        <v>196020</v>
      </c>
      <c r="E295" s="58" t="s">
        <v>107</v>
      </c>
      <c r="F295" s="61">
        <v>0.75</v>
      </c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x14ac:dyDescent="0.25">
      <c r="B296" s="59"/>
      <c r="C296" s="59"/>
      <c r="D296"/>
      <c r="E296"/>
      <c r="F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297" spans="1:23" x14ac:dyDescent="0.25">
      <c r="A297" t="s">
        <v>103</v>
      </c>
      <c r="C297"/>
      <c r="D297"/>
      <c r="E297"/>
      <c r="F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</row>
    <row r="298" spans="1:23" x14ac:dyDescent="0.25">
      <c r="A298" t="s">
        <v>104</v>
      </c>
      <c r="C298"/>
      <c r="D298"/>
      <c r="E298"/>
      <c r="F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</row>
    <row r="299" spans="1:23" x14ac:dyDescent="0.25">
      <c r="A299" t="s">
        <v>105</v>
      </c>
      <c r="C299"/>
      <c r="D299"/>
      <c r="E299"/>
      <c r="F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</row>
    <row r="300" spans="1:23" x14ac:dyDescent="0.25">
      <c r="C300"/>
      <c r="D300"/>
      <c r="E300"/>
      <c r="F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</row>
    <row r="306" spans="1:10" x14ac:dyDescent="0.25">
      <c r="C306" s="24" t="s">
        <v>158</v>
      </c>
      <c r="D306" s="24" t="s">
        <v>157</v>
      </c>
      <c r="E306" s="24" t="s">
        <v>155</v>
      </c>
      <c r="F306" s="14" t="s">
        <v>156</v>
      </c>
      <c r="H306" s="24"/>
      <c r="I306" s="14" t="s">
        <v>159</v>
      </c>
      <c r="J306" s="14" t="s">
        <v>160</v>
      </c>
    </row>
    <row r="307" spans="1:10" x14ac:dyDescent="0.25">
      <c r="A307" s="49" t="s">
        <v>154</v>
      </c>
      <c r="C307" s="66">
        <v>90000</v>
      </c>
      <c r="D307" s="66">
        <v>135000</v>
      </c>
      <c r="E307" s="66">
        <v>350000</v>
      </c>
      <c r="F307" s="64">
        <f>(((E307-(C307+D307)))/(E307))+1</f>
        <v>1.3571428571428572</v>
      </c>
      <c r="I307" s="14">
        <f>C307*$F$323</f>
        <v>108000</v>
      </c>
      <c r="J307" s="14">
        <f>D307*$F$323</f>
        <v>162000</v>
      </c>
    </row>
    <row r="308" spans="1:10" x14ac:dyDescent="0.25">
      <c r="C308" s="66">
        <v>99000</v>
      </c>
      <c r="D308" s="66">
        <v>139500</v>
      </c>
      <c r="E308" s="66">
        <v>352500</v>
      </c>
      <c r="F308" s="64">
        <f t="shared" ref="F308:F322" si="17">(((E308-(C308+D308)))/(E308))+1</f>
        <v>1.323404255319149</v>
      </c>
      <c r="I308" s="14">
        <f t="shared" ref="I308:I322" si="18">C308*$F$323</f>
        <v>118800</v>
      </c>
      <c r="J308" s="14">
        <f t="shared" ref="J308:J322" si="19">D308*$F$323</f>
        <v>167400</v>
      </c>
    </row>
    <row r="309" spans="1:10" x14ac:dyDescent="0.25">
      <c r="C309" s="66">
        <v>110000</v>
      </c>
      <c r="D309" s="66">
        <v>140000</v>
      </c>
      <c r="E309" s="66">
        <v>370000</v>
      </c>
      <c r="F309" s="64">
        <f t="shared" si="17"/>
        <v>1.3243243243243243</v>
      </c>
      <c r="I309" s="14">
        <f t="shared" si="18"/>
        <v>132000</v>
      </c>
      <c r="J309" s="14">
        <f t="shared" si="19"/>
        <v>168000</v>
      </c>
    </row>
    <row r="310" spans="1:10" x14ac:dyDescent="0.25">
      <c r="C310" s="66">
        <v>112500</v>
      </c>
      <c r="D310" s="66">
        <v>141250</v>
      </c>
      <c r="E310" s="66">
        <v>375000</v>
      </c>
      <c r="F310" s="64">
        <f t="shared" si="17"/>
        <v>1.3233333333333333</v>
      </c>
      <c r="I310" s="14">
        <f t="shared" si="18"/>
        <v>135000</v>
      </c>
      <c r="J310" s="14">
        <f t="shared" si="19"/>
        <v>169500</v>
      </c>
    </row>
    <row r="311" spans="1:10" x14ac:dyDescent="0.25">
      <c r="C311" s="66">
        <v>114000</v>
      </c>
      <c r="D311" s="66">
        <v>142500</v>
      </c>
      <c r="E311" s="66">
        <v>379050</v>
      </c>
      <c r="F311" s="64">
        <f t="shared" si="17"/>
        <v>1.3233082706766917</v>
      </c>
      <c r="I311" s="14">
        <f t="shared" si="18"/>
        <v>136800</v>
      </c>
      <c r="J311" s="14">
        <f t="shared" si="19"/>
        <v>171000</v>
      </c>
    </row>
    <row r="312" spans="1:10" x14ac:dyDescent="0.25">
      <c r="C312" s="66">
        <v>116000</v>
      </c>
      <c r="D312" s="66">
        <v>144000</v>
      </c>
      <c r="E312" s="66">
        <v>420000</v>
      </c>
      <c r="F312" s="64">
        <f t="shared" si="17"/>
        <v>1.3809523809523809</v>
      </c>
      <c r="I312" s="14">
        <f t="shared" si="18"/>
        <v>139200</v>
      </c>
      <c r="J312" s="14">
        <f t="shared" si="19"/>
        <v>172800</v>
      </c>
    </row>
    <row r="313" spans="1:10" x14ac:dyDescent="0.25">
      <c r="C313" s="66">
        <v>117500</v>
      </c>
      <c r="D313" s="66">
        <v>145000</v>
      </c>
      <c r="E313" s="66">
        <v>450000</v>
      </c>
      <c r="F313" s="64">
        <f t="shared" si="17"/>
        <v>1.4166666666666667</v>
      </c>
      <c r="I313" s="14">
        <f t="shared" si="18"/>
        <v>141000</v>
      </c>
      <c r="J313" s="14">
        <f t="shared" si="19"/>
        <v>174000</v>
      </c>
    </row>
    <row r="314" spans="1:10" x14ac:dyDescent="0.25">
      <c r="C314" s="66">
        <v>136500</v>
      </c>
      <c r="D314" s="66">
        <v>147000</v>
      </c>
      <c r="E314" s="66">
        <v>469000</v>
      </c>
      <c r="F314" s="64">
        <f t="shared" si="17"/>
        <v>1.3955223880597014</v>
      </c>
      <c r="I314" s="14">
        <f t="shared" si="18"/>
        <v>163800</v>
      </c>
      <c r="J314" s="14">
        <f t="shared" si="19"/>
        <v>176400</v>
      </c>
    </row>
    <row r="315" spans="1:10" x14ac:dyDescent="0.25">
      <c r="C315" s="66">
        <v>160000</v>
      </c>
      <c r="D315" s="66">
        <v>150000</v>
      </c>
      <c r="E315" s="66">
        <v>490000</v>
      </c>
      <c r="F315" s="64">
        <f t="shared" si="17"/>
        <v>1.3673469387755102</v>
      </c>
      <c r="I315" s="14">
        <f t="shared" si="18"/>
        <v>192000</v>
      </c>
      <c r="J315" s="14">
        <f t="shared" si="19"/>
        <v>180000</v>
      </c>
    </row>
    <row r="316" spans="1:10" x14ac:dyDescent="0.25">
      <c r="C316" s="66">
        <v>172500</v>
      </c>
      <c r="D316" s="66">
        <v>165000</v>
      </c>
      <c r="E316" s="66">
        <v>528675</v>
      </c>
      <c r="F316" s="64">
        <f t="shared" si="17"/>
        <v>1.3616115761100867</v>
      </c>
      <c r="I316" s="14">
        <f t="shared" si="18"/>
        <v>207000</v>
      </c>
      <c r="J316" s="14">
        <f t="shared" si="19"/>
        <v>198000</v>
      </c>
    </row>
    <row r="317" spans="1:10" x14ac:dyDescent="0.25">
      <c r="C317" s="66">
        <v>180000</v>
      </c>
      <c r="D317" s="66">
        <v>180000</v>
      </c>
      <c r="E317" s="66">
        <v>551950</v>
      </c>
      <c r="F317" s="64">
        <f t="shared" si="17"/>
        <v>1.3477670078811488</v>
      </c>
      <c r="I317" s="14">
        <f t="shared" si="18"/>
        <v>216000</v>
      </c>
      <c r="J317" s="14">
        <f t="shared" si="19"/>
        <v>216000</v>
      </c>
    </row>
    <row r="318" spans="1:10" x14ac:dyDescent="0.25">
      <c r="C318" s="66">
        <v>190000</v>
      </c>
      <c r="D318" s="66">
        <v>200000</v>
      </c>
      <c r="E318" s="66">
        <v>565250</v>
      </c>
      <c r="F318" s="64">
        <f t="shared" si="17"/>
        <v>1.3100398053958426</v>
      </c>
      <c r="I318" s="14">
        <f t="shared" si="18"/>
        <v>228000</v>
      </c>
      <c r="J318" s="14">
        <f t="shared" si="19"/>
        <v>240000</v>
      </c>
    </row>
    <row r="319" spans="1:10" x14ac:dyDescent="0.25">
      <c r="C319" s="66">
        <v>204000</v>
      </c>
      <c r="D319" s="66">
        <v>225000</v>
      </c>
      <c r="E319" s="66">
        <v>598500</v>
      </c>
      <c r="F319" s="64">
        <f t="shared" si="17"/>
        <v>1.2832080200501252</v>
      </c>
      <c r="I319" s="14">
        <f t="shared" si="18"/>
        <v>244800</v>
      </c>
      <c r="J319" s="14">
        <f t="shared" si="19"/>
        <v>270000</v>
      </c>
    </row>
    <row r="320" spans="1:10" x14ac:dyDescent="0.25">
      <c r="C320" s="66">
        <v>210000</v>
      </c>
      <c r="D320" s="66">
        <v>240000</v>
      </c>
      <c r="E320" s="66">
        <v>638400</v>
      </c>
      <c r="F320" s="64">
        <f t="shared" si="17"/>
        <v>1.2951127819548871</v>
      </c>
      <c r="I320" s="14">
        <f t="shared" si="18"/>
        <v>252000</v>
      </c>
      <c r="J320" s="14">
        <f t="shared" si="19"/>
        <v>288000</v>
      </c>
    </row>
    <row r="321" spans="3:10" x14ac:dyDescent="0.25">
      <c r="C321" s="66">
        <v>212500</v>
      </c>
      <c r="D321" s="66">
        <v>250000</v>
      </c>
      <c r="E321" s="66">
        <v>648375</v>
      </c>
      <c r="F321" s="64">
        <f t="shared" si="17"/>
        <v>1.2866782340466552</v>
      </c>
      <c r="I321" s="14">
        <f t="shared" si="18"/>
        <v>255000</v>
      </c>
      <c r="J321" s="14">
        <f t="shared" si="19"/>
        <v>300000</v>
      </c>
    </row>
    <row r="322" spans="3:10" x14ac:dyDescent="0.25">
      <c r="C322" s="66">
        <v>225000</v>
      </c>
      <c r="D322" s="66">
        <v>260000</v>
      </c>
      <c r="E322" s="66">
        <v>720000</v>
      </c>
      <c r="F322" s="64">
        <f t="shared" si="17"/>
        <v>1.3263888888888888</v>
      </c>
      <c r="I322" s="14">
        <f t="shared" si="18"/>
        <v>270000</v>
      </c>
      <c r="J322" s="14">
        <f t="shared" si="19"/>
        <v>312000</v>
      </c>
    </row>
    <row r="323" spans="3:10" x14ac:dyDescent="0.25">
      <c r="E323" s="24" t="s">
        <v>161</v>
      </c>
      <c r="F323" s="38">
        <v>1.2</v>
      </c>
    </row>
  </sheetData>
  <sortState xmlns:xlrd2="http://schemas.microsoft.com/office/spreadsheetml/2017/richdata2" ref="A264:BN269">
    <sortCondition ref="Q264:Q269"/>
  </sortState>
  <conditionalFormatting sqref="A3:AE27">
    <cfRule type="expression" dxfId="11" priority="33" stopIfTrue="1">
      <formula>MOD(ROW(),4)&gt;1</formula>
    </cfRule>
    <cfRule type="expression" dxfId="10" priority="34" stopIfTrue="1">
      <formula>MOD(ROW(),4)&lt;2</formula>
    </cfRule>
  </conditionalFormatting>
  <conditionalFormatting sqref="A36:AE42 A58:AE59 A66:AE66 A73:AE73 A130:AE130 A169:AE172 A186:AE187 A194:AE194 A227:AE229 A264:AE269">
    <cfRule type="expression" dxfId="9" priority="49" stopIfTrue="1">
      <formula>MOD(ROW(),4)&gt;1</formula>
    </cfRule>
    <cfRule type="expression" dxfId="8" priority="50" stopIfTrue="1">
      <formula>MOD(ROW(),4)&lt;2</formula>
    </cfRule>
  </conditionalFormatting>
  <conditionalFormatting sqref="A49:AE51">
    <cfRule type="expression" dxfId="7" priority="29" stopIfTrue="1">
      <formula>MOD(ROW(),4)&gt;1</formula>
    </cfRule>
    <cfRule type="expression" dxfId="6" priority="30" stopIfTrue="1">
      <formula>MOD(ROW(),4)&lt;2</formula>
    </cfRule>
  </conditionalFormatting>
  <conditionalFormatting sqref="A109:AE113">
    <cfRule type="expression" dxfId="5" priority="15" stopIfTrue="1">
      <formula>MOD(ROW(),4)&gt;1</formula>
    </cfRule>
    <cfRule type="expression" dxfId="4" priority="16" stopIfTrue="1">
      <formula>MOD(ROW(),4)&lt;2</formula>
    </cfRule>
  </conditionalFormatting>
  <conditionalFormatting sqref="A120:AE123">
    <cfRule type="expression" dxfId="3" priority="13" stopIfTrue="1">
      <formula>MOD(ROW(),4)&gt;1</formula>
    </cfRule>
    <cfRule type="expression" dxfId="2" priority="14" stopIfTrue="1">
      <formula>MOD(ROW(),4)&lt;2</formula>
    </cfRule>
  </conditionalFormatting>
  <conditionalFormatting sqref="A179:AE179">
    <cfRule type="expression" dxfId="1" priority="9" stopIfTrue="1">
      <formula>MOD(ROW(),4)&gt;1</formula>
    </cfRule>
    <cfRule type="expression" dxfId="0" priority="10" stopIfTrue="1">
      <formula>MOD(ROW(),4)&lt;2</formula>
    </cfRule>
  </conditionalFormatting>
  <pageMargins left="0.7" right="0.7" top="0.75" bottom="0.75" header="0.3" footer="0.3"/>
  <pageSetup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D66FC-F249-4B30-A4FF-750B2F3867E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Land Analysis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Preston</dc:creator>
  <cp:lastModifiedBy>Pete Preston</cp:lastModifiedBy>
  <dcterms:created xsi:type="dcterms:W3CDTF">2023-03-02T17:08:58Z</dcterms:created>
  <dcterms:modified xsi:type="dcterms:W3CDTF">2024-03-01T02:43:42Z</dcterms:modified>
</cp:coreProperties>
</file>